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00" activeTab="0"/>
  </bookViews>
  <sheets>
    <sheet name="Srull Factor" sheetId="1" r:id="rId1"/>
    <sheet name="Help-Input Values" sheetId="2" r:id="rId2"/>
    <sheet name="Help-Reading Output" sheetId="3" r:id="rId3"/>
  </sheets>
  <definedNames>
    <definedName name="_xlnm.Print_Area" localSheetId="2">'Help-Reading Output'!$B$2:$K$44</definedName>
    <definedName name="_xlnm.Print_Area" localSheetId="0">'Srull Factor'!$A$1:$U$44</definedName>
  </definedNames>
  <calcPr fullCalcOnLoad="1"/>
</workbook>
</file>

<file path=xl/comments1.xml><?xml version="1.0" encoding="utf-8"?>
<comments xmlns="http://schemas.openxmlformats.org/spreadsheetml/2006/main">
  <authors>
    <author>RJP</author>
  </authors>
  <commentList>
    <comment ref="A42" authorId="0">
      <text>
        <r>
          <rPr>
            <b/>
            <sz val="8"/>
            <rFont val="Tahoma"/>
            <family val="2"/>
          </rPr>
          <t>RJP:</t>
        </r>
        <r>
          <rPr>
            <sz val="8"/>
            <rFont val="Tahoma"/>
            <family val="2"/>
          </rPr>
          <t xml:space="preserve">
First Choose the Cross Section of rubber - use the number of 16ths
</t>
        </r>
      </text>
    </comment>
    <comment ref="H42" authorId="0">
      <text>
        <r>
          <rPr>
            <b/>
            <sz val="8"/>
            <rFont val="Tahoma"/>
            <family val="2"/>
          </rPr>
          <t>RJP:</t>
        </r>
        <r>
          <rPr>
            <sz val="8"/>
            <rFont val="Tahoma"/>
            <family val="2"/>
          </rPr>
          <t xml:space="preserve">
This is the Empty Weight (ie everything but the rubber motor) in grams
</t>
        </r>
      </text>
    </comment>
    <comment ref="B44" authorId="0">
      <text>
        <r>
          <rPr>
            <b/>
            <sz val="8"/>
            <rFont val="Tahoma"/>
            <family val="2"/>
          </rPr>
          <t>RJP:</t>
        </r>
        <r>
          <rPr>
            <sz val="8"/>
            <rFont val="Tahoma"/>
            <family val="2"/>
          </rPr>
          <t xml:space="preserve">
1- Choose the Cross Section for your rubber motor - this is in 16th.
2 - Choose the number of loops to make up this motor - if you are wrong, you'll get an error msg.
3- Type in the Empty Weight - This is the final weight of the airplane minus the rubber motor.</t>
        </r>
      </text>
    </comment>
  </commentList>
</comments>
</file>

<file path=xl/sharedStrings.xml><?xml version="1.0" encoding="utf-8"?>
<sst xmlns="http://schemas.openxmlformats.org/spreadsheetml/2006/main" count="158" uniqueCount="103">
  <si>
    <t>Cross Section</t>
  </si>
  <si>
    <t>1/16</t>
  </si>
  <si>
    <t>3/32</t>
  </si>
  <si>
    <t>1/8</t>
  </si>
  <si>
    <t>3/16</t>
  </si>
  <si>
    <t>Total</t>
  </si>
  <si>
    <t>Weight</t>
  </si>
  <si>
    <t>Empty</t>
  </si>
  <si>
    <t>Percent Motor:</t>
  </si>
  <si>
    <t>Number of Loops</t>
  </si>
  <si>
    <t>Motor</t>
  </si>
  <si>
    <t xml:space="preserve">Weight of 50 In </t>
  </si>
  <si>
    <t>Check</t>
  </si>
  <si>
    <t>per inch</t>
  </si>
  <si>
    <t>Assume the rubber length = 50</t>
  </si>
  <si>
    <t>16ths</t>
  </si>
  <si>
    <t>Rubber Length for loop (loop is half)</t>
  </si>
  <si>
    <r>
      <t xml:space="preserve">Type in values in </t>
    </r>
    <r>
      <rPr>
        <b/>
        <sz val="10"/>
        <color indexed="41"/>
        <rFont val="Arial"/>
        <family val="2"/>
      </rPr>
      <t>Blue</t>
    </r>
    <r>
      <rPr>
        <sz val="10"/>
        <rFont val="Arial"/>
        <family val="0"/>
      </rPr>
      <t xml:space="preserve"> cells only.</t>
    </r>
  </si>
  <si>
    <t xml:space="preserve">Your Srull Factor = </t>
  </si>
  <si>
    <t>,normal Srull Factor is 90.</t>
  </si>
  <si>
    <t>Weight out 50 inches of your rubber and put in row 3.</t>
  </si>
  <si>
    <t>Wimp</t>
  </si>
  <si>
    <t>Cadet</t>
  </si>
  <si>
    <t>Pilot</t>
  </si>
  <si>
    <t>Interceptor</t>
  </si>
  <si>
    <t>Gorilla</t>
  </si>
  <si>
    <t>After-burner</t>
  </si>
  <si>
    <t xml:space="preserve"> Don Srull's Cross Section Predictor</t>
  </si>
  <si>
    <t>You are going to need a much bigger motor</t>
  </si>
  <si>
    <t>Caution - Will go up like a rocket</t>
  </si>
  <si>
    <t>Normal rubber size</t>
  </si>
  <si>
    <t>ROG - this will realy get it off the table</t>
  </si>
  <si>
    <t>Recruit</t>
  </si>
  <si>
    <t>Gentle Flyer</t>
  </si>
  <si>
    <t>This Ape motor will top out everyone else.</t>
  </si>
  <si>
    <t>Instructions</t>
  </si>
  <si>
    <t>God-Like</t>
  </si>
  <si>
    <t>Your are a crazy man!</t>
  </si>
  <si>
    <t>Small motor, never take on a windy day.</t>
  </si>
  <si>
    <t>111 and up</t>
  </si>
  <si>
    <t>103 - 110</t>
  </si>
  <si>
    <t>95 - 102</t>
  </si>
  <si>
    <t>87 - 94</t>
  </si>
  <si>
    <t>79 - 87</t>
  </si>
  <si>
    <t>71 - 79</t>
  </si>
  <si>
    <t>63 - 71</t>
  </si>
  <si>
    <t>62 and under</t>
  </si>
  <si>
    <t>Motor Weight:</t>
  </si>
  <si>
    <t>YOUR PLANE</t>
  </si>
  <si>
    <t>Srull Factor</t>
  </si>
  <si>
    <t>Srull Factor
is 90</t>
  </si>
  <si>
    <t>Grams per 50 in. length</t>
  </si>
  <si>
    <t>for Discussion:</t>
  </si>
  <si>
    <t>A- Cross Section</t>
  </si>
  <si>
    <t>B- The Weights</t>
  </si>
  <si>
    <t>C- The loop Lengths</t>
  </si>
  <si>
    <t>Discussion below:</t>
  </si>
  <si>
    <t>A- The Factors</t>
  </si>
  <si>
    <t>B- The Rubber Weights</t>
  </si>
  <si>
    <t>D- YOUR PLANE</t>
  </si>
  <si>
    <t>C- The Number of Loops</t>
  </si>
  <si>
    <t>The more accurate your weights, the more accurate the estimated loop lengths.</t>
  </si>
  <si>
    <t>However there can be many different combinations to make the same cross section.</t>
  </si>
  <si>
    <t>Note this sectionis independent of the chart - the only information it uses is the rubber weights.</t>
  </si>
  <si>
    <t>formula is: Total_weight  /  90  =  Cross_Section, Total Weight is a factor of</t>
  </si>
  <si>
    <t>cross section. To change the Total Weight for each cross section change the Srull Factor.</t>
  </si>
  <si>
    <r>
      <t xml:space="preserve">Srull Factor </t>
    </r>
    <r>
      <rPr>
        <sz val="10"/>
        <rFont val="Arial"/>
        <family val="0"/>
      </rPr>
      <t>- The Srull Factor is 90. You should always start with 90. The Srull</t>
    </r>
  </si>
  <si>
    <t>Basics</t>
  </si>
  <si>
    <t>Total Weight - is the weight of everything, including the rubber motor. This is flying weight.</t>
  </si>
  <si>
    <t>Empty Weight - is the weight of everything NOT including the rubber motor.</t>
  </si>
  <si>
    <t xml:space="preserve">Choose your size of Cross section in 16ths and select the correct number of loops for each size. </t>
  </si>
  <si>
    <t>Weight out 50 inches of each size of your rubber.Or weight out 100 inches and divide that number in half.</t>
  </si>
  <si>
    <t>You just built the Plane and only know the Empty Weight - Plug that in. Adjust the Percent Motor</t>
  </si>
  <si>
    <t>this chart - There are 4 areas</t>
  </si>
  <si>
    <t>see Discussion below:</t>
  </si>
  <si>
    <t>There are two important Factors that control the entire chart:</t>
  </si>
  <si>
    <t>The Srull Factor is 90.</t>
  </si>
  <si>
    <t>To help reading the Inputs of</t>
  </si>
  <si>
    <t xml:space="preserve">The Total Weight is a product of Cross Section and Srull Factor. </t>
  </si>
  <si>
    <t>To change the Total Weight for each cross section change the Sull Factor.</t>
  </si>
  <si>
    <t>The Empty Weight is a product of the Total Weight and the Percent Motor. To change to Empty Weight</t>
  </si>
  <si>
    <t>adjust the Percent Motor.</t>
  </si>
  <si>
    <t>The loop lengths are based on the weight of each size rubber for 50 inch lengths.</t>
  </si>
  <si>
    <t xml:space="preserve">To help reading the </t>
  </si>
  <si>
    <t>Output of this Chart</t>
  </si>
  <si>
    <t>There are 3 areas</t>
  </si>
  <si>
    <r>
      <t>Percent Motor</t>
    </r>
    <r>
      <rPr>
        <sz val="10"/>
        <rFont val="Arial"/>
        <family val="0"/>
      </rPr>
      <t xml:space="preserve"> - this is the percent of the Empty Weight that the rubber motor is.</t>
    </r>
  </si>
  <si>
    <t>Changing this effects Empty Weight value as a factor of Total Weight.</t>
  </si>
  <si>
    <t>Motor Weight is always a Percent motor of Empty Weight ie MW = EW * Percent Motor and TW = EW + MW</t>
  </si>
  <si>
    <t>The chart is already filled in with combinations of rubber sized loops to correctly make that cross section.</t>
  </si>
  <si>
    <r>
      <t>Choose the correct number of loops, if you make a mistake the row will turn</t>
    </r>
    <r>
      <rPr>
        <b/>
        <sz val="10"/>
        <color indexed="10"/>
        <rFont val="Arial"/>
        <family val="2"/>
      </rPr>
      <t xml:space="preserve"> RED</t>
    </r>
    <r>
      <rPr>
        <sz val="10"/>
        <rFont val="Arial"/>
        <family val="0"/>
      </rPr>
      <t>.</t>
    </r>
  </si>
  <si>
    <t>Total rubber width in inches. These values never change this is the basics of the chart.</t>
  </si>
  <si>
    <t>Have fun - Rick</t>
  </si>
  <si>
    <t>have fun - Rick</t>
  </si>
  <si>
    <t>T-fail</t>
  </si>
  <si>
    <t>T.85</t>
  </si>
  <si>
    <t>T.75</t>
  </si>
  <si>
    <t>TPI.85</t>
  </si>
  <si>
    <t>TPI.75</t>
  </si>
  <si>
    <t>TPI-fail</t>
  </si>
  <si>
    <t>Don DeLoach T-fail is torque in inch-ounces TPI is turns / inch</t>
  </si>
  <si>
    <t>Total:</t>
  </si>
  <si>
    <t>The Srull formula is: Total_Weight (grams)   /   90   =   Cross_Section (inches)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</si>
</sst>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4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n">
        <color indexed="9"/>
      </left>
      <right style="thin">
        <color indexed="9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 quotePrefix="1">
      <alignment horizontal="center"/>
    </xf>
    <xf numFmtId="1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9" fontId="0" fillId="0" borderId="0" xfId="0" applyNumberFormat="1" applyFill="1" applyBorder="1" applyAlignment="1" applyProtection="1">
      <alignment horizontal="center"/>
      <protection/>
    </xf>
    <xf numFmtId="9" fontId="0" fillId="34" borderId="15" xfId="0" applyNumberFormat="1" applyFill="1" applyBorder="1" applyAlignment="1" applyProtection="1">
      <alignment horizontal="left"/>
      <protection/>
    </xf>
    <xf numFmtId="9" fontId="0" fillId="34" borderId="16" xfId="0" applyNumberForma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9" fontId="0" fillId="34" borderId="18" xfId="0" applyNumberFormat="1" applyFill="1" applyBorder="1" applyAlignment="1" applyProtection="1">
      <alignment horizontal="left"/>
      <protection/>
    </xf>
    <xf numFmtId="9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9" fontId="0" fillId="34" borderId="20" xfId="0" applyNumberFormat="1" applyFill="1" applyBorder="1" applyAlignment="1" applyProtection="1">
      <alignment horizontal="center"/>
      <protection/>
    </xf>
    <xf numFmtId="9" fontId="0" fillId="34" borderId="21" xfId="0" applyNumberForma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9" fontId="0" fillId="0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 quotePrefix="1">
      <alignment horizontal="center"/>
      <protection/>
    </xf>
    <xf numFmtId="0" fontId="2" fillId="36" borderId="24" xfId="0" applyFont="1" applyFill="1" applyBorder="1" applyAlignment="1" applyProtection="1" quotePrefix="1">
      <alignment horizontal="center"/>
      <protection/>
    </xf>
    <xf numFmtId="0" fontId="2" fillId="36" borderId="25" xfId="0" applyFont="1" applyFill="1" applyBorder="1" applyAlignment="1" applyProtection="1" quotePrefix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 quotePrefix="1">
      <alignment horizontal="center"/>
      <protection/>
    </xf>
    <xf numFmtId="0" fontId="2" fillId="36" borderId="27" xfId="0" applyFont="1" applyFill="1" applyBorder="1" applyAlignment="1" applyProtection="1" quotePrefix="1">
      <alignment horizontal="center"/>
      <protection/>
    </xf>
    <xf numFmtId="0" fontId="2" fillId="36" borderId="28" xfId="0" applyFont="1" applyFill="1" applyBorder="1" applyAlignment="1" applyProtection="1" quotePrefix="1">
      <alignment horizontal="center"/>
      <protection/>
    </xf>
    <xf numFmtId="0" fontId="2" fillId="36" borderId="29" xfId="0" applyFont="1" applyFill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2" fontId="0" fillId="0" borderId="31" xfId="0" applyNumberFormat="1" applyBorder="1" applyAlignment="1" applyProtection="1">
      <alignment horizontal="center"/>
      <protection/>
    </xf>
    <xf numFmtId="2" fontId="0" fillId="0" borderId="32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2" fillId="36" borderId="38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39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 quotePrefix="1">
      <alignment horizontal="center"/>
      <protection/>
    </xf>
    <xf numFmtId="16" fontId="2" fillId="36" borderId="21" xfId="0" applyNumberFormat="1" applyFont="1" applyFill="1" applyBorder="1" applyAlignment="1" applyProtection="1" quotePrefix="1">
      <alignment horizontal="center"/>
      <protection/>
    </xf>
    <xf numFmtId="0" fontId="2" fillId="37" borderId="10" xfId="0" applyFont="1" applyFill="1" applyBorder="1" applyAlignment="1" applyProtection="1" quotePrefix="1">
      <alignment horizontal="center"/>
      <protection/>
    </xf>
    <xf numFmtId="2" fontId="0" fillId="0" borderId="31" xfId="0" applyNumberFormat="1" applyFill="1" applyBorder="1" applyAlignment="1" applyProtection="1">
      <alignment horizontal="center"/>
      <protection/>
    </xf>
    <xf numFmtId="2" fontId="0" fillId="0" borderId="40" xfId="0" applyNumberFormat="1" applyBorder="1" applyAlignment="1" applyProtection="1">
      <alignment horizontal="center"/>
      <protection/>
    </xf>
    <xf numFmtId="1" fontId="0" fillId="0" borderId="41" xfId="0" applyNumberFormat="1" applyBorder="1" applyAlignment="1" applyProtection="1">
      <alignment horizontal="center"/>
      <protection/>
    </xf>
    <xf numFmtId="1" fontId="0" fillId="0" borderId="42" xfId="0" applyNumberForma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right"/>
      <protection/>
    </xf>
    <xf numFmtId="2" fontId="0" fillId="0" borderId="44" xfId="0" applyNumberForma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" fontId="8" fillId="0" borderId="44" xfId="0" applyNumberFormat="1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9" fontId="0" fillId="33" borderId="38" xfId="0" applyNumberFormat="1" applyFill="1" applyBorder="1" applyAlignment="1" applyProtection="1">
      <alignment horizontal="center"/>
      <protection locked="0"/>
    </xf>
    <xf numFmtId="2" fontId="0" fillId="33" borderId="46" xfId="0" applyNumberFormat="1" applyFont="1" applyFill="1" applyBorder="1" applyAlignment="1" applyProtection="1">
      <alignment horizontal="right"/>
      <protection locked="0"/>
    </xf>
    <xf numFmtId="2" fontId="0" fillId="33" borderId="47" xfId="0" applyNumberFormat="1" applyFont="1" applyFill="1" applyBorder="1" applyAlignment="1" applyProtection="1">
      <alignment horizontal="right"/>
      <protection locked="0"/>
    </xf>
    <xf numFmtId="2" fontId="0" fillId="33" borderId="48" xfId="0" applyNumberFormat="1" applyFont="1" applyFill="1" applyBorder="1" applyAlignment="1" applyProtection="1">
      <alignment horizontal="right"/>
      <protection locked="0"/>
    </xf>
    <xf numFmtId="9" fontId="7" fillId="33" borderId="49" xfId="0" applyNumberFormat="1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2" fontId="0" fillId="33" borderId="32" xfId="0" applyNumberFormat="1" applyFill="1" applyBorder="1" applyAlignment="1" applyProtection="1">
      <alignment horizontal="center"/>
      <protection locked="0"/>
    </xf>
    <xf numFmtId="0" fontId="2" fillId="38" borderId="26" xfId="0" applyFont="1" applyFill="1" applyBorder="1" applyAlignment="1" applyProtection="1">
      <alignment horizontal="center"/>
      <protection/>
    </xf>
    <xf numFmtId="164" fontId="0" fillId="0" borderId="50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47" fillId="0" borderId="14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2" fontId="47" fillId="0" borderId="14" xfId="0" applyNumberFormat="1" applyFont="1" applyBorder="1" applyAlignment="1" applyProtection="1">
      <alignment/>
      <protection/>
    </xf>
    <xf numFmtId="0" fontId="0" fillId="39" borderId="0" xfId="0" applyFont="1" applyFill="1" applyAlignment="1" applyProtection="1">
      <alignment horizontal="center"/>
      <protection/>
    </xf>
    <xf numFmtId="0" fontId="0" fillId="39" borderId="10" xfId="0" applyFont="1" applyFill="1" applyBorder="1" applyAlignment="1" applyProtection="1" quotePrefix="1">
      <alignment horizontal="center"/>
      <protection/>
    </xf>
    <xf numFmtId="0" fontId="2" fillId="38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5" fillId="38" borderId="10" xfId="0" applyFont="1" applyFill="1" applyBorder="1" applyAlignment="1">
      <alignment horizontal="center"/>
    </xf>
    <xf numFmtId="0" fontId="0" fillId="0" borderId="51" xfId="0" applyFont="1" applyBorder="1" applyAlignment="1" applyProtection="1">
      <alignment horizontal="left"/>
      <protection/>
    </xf>
    <xf numFmtId="0" fontId="0" fillId="0" borderId="49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51" xfId="0" applyBorder="1" applyAlignment="1" applyProtection="1">
      <alignment horizontal="right"/>
      <protection/>
    </xf>
    <xf numFmtId="0" fontId="0" fillId="0" borderId="49" xfId="0" applyBorder="1" applyAlignment="1" applyProtection="1">
      <alignment horizontal="right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12" fillId="36" borderId="49" xfId="0" applyFont="1" applyFill="1" applyBorder="1" applyAlignment="1" applyProtection="1">
      <alignment horizontal="right"/>
      <protection/>
    </xf>
    <xf numFmtId="0" fontId="12" fillId="36" borderId="49" xfId="0" applyFont="1" applyFill="1" applyBorder="1" applyAlignment="1" applyProtection="1">
      <alignment horizontal="center"/>
      <protection/>
    </xf>
    <xf numFmtId="0" fontId="2" fillId="36" borderId="52" xfId="0" applyFont="1" applyFill="1" applyBorder="1" applyAlignment="1" applyProtection="1">
      <alignment horizontal="center"/>
      <protection/>
    </xf>
    <xf numFmtId="9" fontId="0" fillId="0" borderId="53" xfId="0" applyNumberFormat="1" applyFill="1" applyBorder="1" applyAlignment="1" applyProtection="1">
      <alignment horizontal="center"/>
      <protection/>
    </xf>
    <xf numFmtId="1" fontId="13" fillId="33" borderId="17" xfId="0" applyNumberFormat="1" applyFont="1" applyFill="1" applyBorder="1" applyAlignment="1" applyProtection="1">
      <alignment horizontal="center" vertical="center"/>
      <protection locked="0"/>
    </xf>
    <xf numFmtId="1" fontId="13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9" fontId="0" fillId="0" borderId="54" xfId="0" applyNumberFormat="1" applyFill="1" applyBorder="1" applyAlignment="1" applyProtection="1">
      <alignment horizontal="center"/>
      <protection/>
    </xf>
    <xf numFmtId="9" fontId="0" fillId="0" borderId="55" xfId="0" applyNumberFormat="1" applyFill="1" applyBorder="1" applyAlignment="1" applyProtection="1">
      <alignment horizontal="center"/>
      <protection/>
    </xf>
    <xf numFmtId="9" fontId="0" fillId="0" borderId="41" xfId="0" applyNumberForma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12" fillId="36" borderId="51" xfId="0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/>
      <protection/>
    </xf>
    <xf numFmtId="0" fontId="2" fillId="37" borderId="31" xfId="0" applyFont="1" applyFill="1" applyBorder="1" applyAlignment="1" applyProtection="1">
      <alignment horizontal="center"/>
      <protection/>
    </xf>
    <xf numFmtId="0" fontId="0" fillId="0" borderId="58" xfId="0" applyFont="1" applyBorder="1" applyAlignment="1" applyProtection="1">
      <alignment horizontal="right"/>
      <protection/>
    </xf>
    <xf numFmtId="0" fontId="0" fillId="0" borderId="44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609600</xdr:colOff>
      <xdr:row>4</xdr:row>
      <xdr:rowOff>171450</xdr:rowOff>
    </xdr:from>
    <xdr:to>
      <xdr:col>40</xdr:col>
      <xdr:colOff>390525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58550" y="695325"/>
          <a:ext cx="5267325" cy="4543425"/>
        </a:xfrm>
        <a:prstGeom prst="rect">
          <a:avLst/>
        </a:prstGeom>
        <a:solidFill>
          <a:srgbClr val="92D050">
            <a:alpha val="85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from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Rick Pendzick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Hey I got one too. only rule-- only type in the cells that are blue (input cells)- all others have formulas.
This is based on the Srull Factor: (Total Flying Weight) / 90 = (Rubber Cross Section) so 45g flying weight is 45/90 = 0.5 or 2 loops of 1/8
There is help but simply the top 3 rows is where you put your info ie. weight your rubber, what Srull Factor you desire and % motor of E.W.
the middle is where you can experiment with different ways to make the cross sections
the bottom is the input of you model:
put in your Empty Weight and the % motor you want - then experiment with different cross sections to get the desired Srull Factor.
have fun - Rick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11</xdr:col>
      <xdr:colOff>0</xdr:colOff>
      <xdr:row>30</xdr:row>
      <xdr:rowOff>123825</xdr:rowOff>
    </xdr:to>
    <xdr:pic>
      <xdr:nvPicPr>
        <xdr:cNvPr id="1" name="Picture 4" descr="Srull_Factor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076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9</xdr:col>
      <xdr:colOff>666750</xdr:colOff>
      <xdr:row>30</xdr:row>
      <xdr:rowOff>66675</xdr:rowOff>
    </xdr:to>
    <xdr:pic>
      <xdr:nvPicPr>
        <xdr:cNvPr id="1" name="Picture 2" descr="Srull_Factor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50768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showZeros="0" tabSelected="1" zoomScale="70" zoomScaleNormal="70" zoomScalePageLayoutView="0" workbookViewId="0" topLeftCell="A1">
      <selection activeCell="C46" sqref="C46"/>
    </sheetView>
  </sheetViews>
  <sheetFormatPr defaultColWidth="9.140625" defaultRowHeight="12.75"/>
  <cols>
    <col min="1" max="1" width="6.00390625" style="1" customWidth="1"/>
    <col min="2" max="2" width="7.57421875" style="0" customWidth="1"/>
    <col min="3" max="6" width="6.00390625" style="1" customWidth="1"/>
    <col min="7" max="7" width="9.8515625" style="1" customWidth="1"/>
    <col min="8" max="8" width="10.140625" style="1" customWidth="1"/>
    <col min="9" max="9" width="9.140625" style="1" customWidth="1"/>
    <col min="10" max="11" width="6.57421875" style="1" hidden="1" customWidth="1"/>
    <col min="12" max="12" width="6.8515625" style="1" hidden="1" customWidth="1"/>
    <col min="13" max="13" width="6.57421875" style="1" hidden="1" customWidth="1"/>
    <col min="14" max="14" width="9.140625" style="1" hidden="1" customWidth="1"/>
    <col min="15" max="18" width="8.7109375" style="1" customWidth="1"/>
    <col min="19" max="19" width="9.140625" style="1" hidden="1" customWidth="1"/>
    <col min="20" max="20" width="11.7109375" style="0" customWidth="1"/>
    <col min="21" max="21" width="9.8515625" style="0" customWidth="1"/>
    <col min="24" max="25" width="8.8515625" style="0" hidden="1" customWidth="1"/>
    <col min="26" max="26" width="24.8515625" style="0" hidden="1" customWidth="1"/>
    <col min="27" max="27" width="12.28125" style="0" hidden="1" customWidth="1"/>
    <col min="28" max="28" width="37.421875" style="0" hidden="1" customWidth="1"/>
    <col min="29" max="29" width="8.8515625" style="0" hidden="1" customWidth="1"/>
  </cols>
  <sheetData>
    <row r="1" spans="1:21" ht="14.25" thickBot="1" thickTop="1">
      <c r="A1" s="104" t="s">
        <v>27</v>
      </c>
      <c r="B1" s="105"/>
      <c r="C1" s="105"/>
      <c r="D1" s="105"/>
      <c r="E1" s="106"/>
      <c r="F1" s="107" t="s">
        <v>8</v>
      </c>
      <c r="G1" s="108"/>
      <c r="H1" s="84">
        <v>0.25</v>
      </c>
      <c r="I1" s="12"/>
      <c r="J1" s="12"/>
      <c r="K1" s="12"/>
      <c r="L1" s="12"/>
      <c r="M1" s="12"/>
      <c r="N1" s="12"/>
      <c r="O1" s="13" t="s">
        <v>17</v>
      </c>
      <c r="P1" s="14"/>
      <c r="Q1" s="14"/>
      <c r="R1" s="14"/>
      <c r="S1" s="14"/>
      <c r="T1" s="15"/>
      <c r="U1" s="16"/>
    </row>
    <row r="2" spans="1:21" ht="13.5" thickTop="1">
      <c r="A2" s="118" t="s">
        <v>50</v>
      </c>
      <c r="B2" s="119"/>
      <c r="C2" s="109" t="s">
        <v>51</v>
      </c>
      <c r="D2" s="110"/>
      <c r="E2" s="110"/>
      <c r="F2" s="111"/>
      <c r="G2" s="122" t="s">
        <v>49</v>
      </c>
      <c r="H2" s="116">
        <v>90</v>
      </c>
      <c r="I2" s="12"/>
      <c r="J2" s="12"/>
      <c r="K2" s="12"/>
      <c r="L2" s="12"/>
      <c r="M2" s="12"/>
      <c r="N2" s="12"/>
      <c r="O2" s="17" t="s">
        <v>20</v>
      </c>
      <c r="P2" s="18"/>
      <c r="Q2" s="18"/>
      <c r="R2" s="18"/>
      <c r="S2" s="18"/>
      <c r="T2" s="19"/>
      <c r="U2" s="20"/>
    </row>
    <row r="3" spans="1:21" ht="13.5" thickBot="1">
      <c r="A3" s="120"/>
      <c r="B3" s="121"/>
      <c r="C3" s="85">
        <v>2.1</v>
      </c>
      <c r="D3" s="86">
        <v>3.63</v>
      </c>
      <c r="E3" s="86">
        <v>4.08</v>
      </c>
      <c r="F3" s="87">
        <v>6.84</v>
      </c>
      <c r="G3" s="123"/>
      <c r="H3" s="117"/>
      <c r="I3" s="12"/>
      <c r="J3" s="115"/>
      <c r="K3" s="115"/>
      <c r="L3" s="115"/>
      <c r="M3" s="115"/>
      <c r="N3" s="115"/>
      <c r="O3" s="21"/>
      <c r="P3" s="22"/>
      <c r="Q3" s="22"/>
      <c r="R3" s="22"/>
      <c r="S3" s="22"/>
      <c r="T3" s="23"/>
      <c r="U3" s="24"/>
    </row>
    <row r="4" spans="1:21" ht="14.25" hidden="1" thickBot="1" thickTop="1">
      <c r="A4" s="25"/>
      <c r="B4" s="26" t="s">
        <v>13</v>
      </c>
      <c r="C4" s="27">
        <f>C3/50</f>
        <v>0.042</v>
      </c>
      <c r="D4" s="27">
        <f>D3/50</f>
        <v>0.0726</v>
      </c>
      <c r="E4" s="27">
        <f>E3/50</f>
        <v>0.0816</v>
      </c>
      <c r="F4" s="27">
        <f>F3/50</f>
        <v>0.1368</v>
      </c>
      <c r="G4" s="28"/>
      <c r="H4" s="29"/>
      <c r="I4" s="12"/>
      <c r="J4" s="124" t="s">
        <v>14</v>
      </c>
      <c r="K4" s="125"/>
      <c r="L4" s="125"/>
      <c r="M4" s="125"/>
      <c r="N4" s="126"/>
      <c r="O4" s="12"/>
      <c r="P4" s="12"/>
      <c r="Q4" s="12"/>
      <c r="R4" s="12"/>
      <c r="S4" s="12"/>
      <c r="T4" s="30"/>
      <c r="U4" s="30"/>
    </row>
    <row r="5" spans="1:31" ht="13.5" thickTop="1">
      <c r="A5" s="127" t="s">
        <v>0</v>
      </c>
      <c r="B5" s="128"/>
      <c r="C5" s="110" t="s">
        <v>9</v>
      </c>
      <c r="D5" s="110"/>
      <c r="E5" s="110"/>
      <c r="F5" s="110"/>
      <c r="G5" s="31" t="s">
        <v>5</v>
      </c>
      <c r="H5" s="32" t="s">
        <v>7</v>
      </c>
      <c r="I5" s="32" t="s">
        <v>10</v>
      </c>
      <c r="J5" s="132" t="s">
        <v>11</v>
      </c>
      <c r="K5" s="132"/>
      <c r="L5" s="132"/>
      <c r="M5" s="132"/>
      <c r="N5" s="98" t="s">
        <v>5</v>
      </c>
      <c r="O5" s="114" t="s">
        <v>16</v>
      </c>
      <c r="P5" s="114"/>
      <c r="Q5" s="114"/>
      <c r="R5" s="114"/>
      <c r="S5" s="98" t="s">
        <v>6</v>
      </c>
      <c r="T5" s="133" t="s">
        <v>100</v>
      </c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5"/>
    </row>
    <row r="6" spans="1:31" ht="13.5" thickBot="1">
      <c r="A6" s="34" t="s">
        <v>15</v>
      </c>
      <c r="B6" s="35"/>
      <c r="C6" s="36" t="s">
        <v>1</v>
      </c>
      <c r="D6" s="37" t="s">
        <v>2</v>
      </c>
      <c r="E6" s="37" t="s">
        <v>3</v>
      </c>
      <c r="F6" s="38" t="s">
        <v>4</v>
      </c>
      <c r="G6" s="39" t="s">
        <v>6</v>
      </c>
      <c r="H6" s="40" t="s">
        <v>6</v>
      </c>
      <c r="I6" s="41" t="s">
        <v>6</v>
      </c>
      <c r="J6" s="99" t="s">
        <v>1</v>
      </c>
      <c r="K6" s="99" t="s">
        <v>2</v>
      </c>
      <c r="L6" s="99" t="s">
        <v>3</v>
      </c>
      <c r="M6" s="99" t="s">
        <v>4</v>
      </c>
      <c r="N6" s="98" t="s">
        <v>6</v>
      </c>
      <c r="O6" s="43" t="s">
        <v>1</v>
      </c>
      <c r="P6" s="44" t="s">
        <v>2</v>
      </c>
      <c r="Q6" s="44" t="s">
        <v>3</v>
      </c>
      <c r="R6" s="45" t="s">
        <v>4</v>
      </c>
      <c r="S6" s="98" t="s">
        <v>12</v>
      </c>
      <c r="T6" s="91" t="s">
        <v>94</v>
      </c>
      <c r="U6" s="91" t="s">
        <v>95</v>
      </c>
      <c r="V6" s="91" t="s">
        <v>96</v>
      </c>
      <c r="W6" s="91" t="s">
        <v>99</v>
      </c>
      <c r="X6" s="91"/>
      <c r="Y6" s="91"/>
      <c r="Z6" s="91"/>
      <c r="AA6" s="91"/>
      <c r="AB6" s="91"/>
      <c r="AC6" s="91"/>
      <c r="AD6" s="91" t="s">
        <v>97</v>
      </c>
      <c r="AE6" s="91" t="s">
        <v>98</v>
      </c>
    </row>
    <row r="7" spans="1:31" ht="12.75" customHeight="1" thickTop="1">
      <c r="A7" s="46">
        <v>2</v>
      </c>
      <c r="B7" s="47">
        <f>2/16</f>
        <v>0.125</v>
      </c>
      <c r="C7" s="11">
        <v>1</v>
      </c>
      <c r="D7" s="11"/>
      <c r="E7" s="11"/>
      <c r="F7" s="11"/>
      <c r="G7" s="48">
        <f>B7*$H$2</f>
        <v>11.25</v>
      </c>
      <c r="H7" s="49">
        <f>G7/(1+$H$1)</f>
        <v>9</v>
      </c>
      <c r="I7" s="48">
        <f>G7-H7</f>
        <v>2.25</v>
      </c>
      <c r="J7" s="50">
        <f>C7*$C$3</f>
        <v>2.1</v>
      </c>
      <c r="K7" s="50">
        <f>D7*$D$3</f>
        <v>0</v>
      </c>
      <c r="L7" s="50">
        <f>E7*$E$3</f>
        <v>0</v>
      </c>
      <c r="M7" s="50">
        <f>F7*$F$3</f>
        <v>0</v>
      </c>
      <c r="N7" s="51">
        <f>SUM(J7:M7)</f>
        <v>2.1</v>
      </c>
      <c r="O7" s="50">
        <f aca="true" t="shared" si="0" ref="O7:O37">IF(J7=0,0,(50*I7*(J7/N7))/J7)</f>
        <v>53.57142857142857</v>
      </c>
      <c r="P7" s="50">
        <f aca="true" t="shared" si="1" ref="P7:P37">IF(K7=0,0,(50*I7*(K7/N7))/K7)</f>
        <v>0</v>
      </c>
      <c r="Q7" s="50">
        <f aca="true" t="shared" si="2" ref="Q7:Q37">IF(L7=0,0,(50*I7*(L7/N7))/L7)</f>
        <v>0</v>
      </c>
      <c r="R7" s="50">
        <f aca="true" t="shared" si="3" ref="R7:R37">IF(M7=0,0,(50*I7*(M7/N7))/M7)</f>
        <v>0</v>
      </c>
      <c r="S7" s="52">
        <f aca="true" t="shared" si="4" ref="S7:S37">(O7*$C$4*C7)+(P7*$D$4*D7)+(Q7*$E$4*E7)+(R7*$F$4*F7)</f>
        <v>2.25</v>
      </c>
      <c r="T7" s="92">
        <v>1</v>
      </c>
      <c r="U7" s="9">
        <v>0.87</v>
      </c>
      <c r="V7" s="9">
        <v>0.77</v>
      </c>
      <c r="W7" s="9">
        <v>153</v>
      </c>
      <c r="X7" s="9"/>
      <c r="Y7" s="9"/>
      <c r="Z7" s="9"/>
      <c r="AA7" s="9"/>
      <c r="AB7" s="9"/>
      <c r="AC7" s="9"/>
      <c r="AD7" s="9">
        <v>130</v>
      </c>
      <c r="AE7" s="9">
        <v>115</v>
      </c>
    </row>
    <row r="8" spans="1:31" ht="12.75" customHeight="1">
      <c r="A8" s="53">
        <v>3</v>
      </c>
      <c r="B8" s="54">
        <f>A8/16</f>
        <v>0.1875</v>
      </c>
      <c r="C8" s="11"/>
      <c r="D8" s="11">
        <v>1</v>
      </c>
      <c r="E8" s="11"/>
      <c r="F8" s="11"/>
      <c r="G8" s="48">
        <f>B8*$H$2</f>
        <v>16.875</v>
      </c>
      <c r="H8" s="49">
        <f aca="true" t="shared" si="5" ref="H8:H37">G8/(1+$H$1)</f>
        <v>13.5</v>
      </c>
      <c r="I8" s="55">
        <f>G8-H8</f>
        <v>3.375</v>
      </c>
      <c r="J8" s="50">
        <f>C8*$C$3</f>
        <v>0</v>
      </c>
      <c r="K8" s="50">
        <f>D8*$D$3</f>
        <v>3.63</v>
      </c>
      <c r="L8" s="50">
        <f>E8*$E$3</f>
        <v>0</v>
      </c>
      <c r="M8" s="50">
        <f>F8*$F$3</f>
        <v>0</v>
      </c>
      <c r="N8" s="51">
        <f>SUM(J8:M8)</f>
        <v>3.63</v>
      </c>
      <c r="O8" s="50">
        <f t="shared" si="0"/>
        <v>0</v>
      </c>
      <c r="P8" s="50">
        <f t="shared" si="1"/>
        <v>46.48760330578513</v>
      </c>
      <c r="Q8" s="50">
        <f t="shared" si="2"/>
        <v>0</v>
      </c>
      <c r="R8" s="50">
        <f t="shared" si="3"/>
        <v>0</v>
      </c>
      <c r="S8" s="52">
        <f t="shared" si="4"/>
        <v>3.3750000000000004</v>
      </c>
      <c r="T8" s="93">
        <v>1.8</v>
      </c>
      <c r="U8" s="94">
        <v>1.6</v>
      </c>
      <c r="V8" s="94">
        <v>1.4</v>
      </c>
      <c r="W8" s="8">
        <v>125</v>
      </c>
      <c r="X8" s="8"/>
      <c r="Y8" s="8"/>
      <c r="Z8" s="8"/>
      <c r="AA8" s="8"/>
      <c r="AB8" s="8"/>
      <c r="AC8" s="8"/>
      <c r="AD8" s="8">
        <v>106</v>
      </c>
      <c r="AE8" s="8">
        <v>94</v>
      </c>
    </row>
    <row r="9" spans="1:31" ht="12.75" customHeight="1">
      <c r="A9" s="53">
        <v>4</v>
      </c>
      <c r="B9" s="54">
        <f aca="true" t="shared" si="6" ref="B9:B37">A9/16</f>
        <v>0.25</v>
      </c>
      <c r="C9" s="11"/>
      <c r="D9" s="11"/>
      <c r="E9" s="11">
        <v>1</v>
      </c>
      <c r="F9" s="11"/>
      <c r="G9" s="48">
        <f>B9*$H$2</f>
        <v>22.5</v>
      </c>
      <c r="H9" s="49">
        <f t="shared" si="5"/>
        <v>18</v>
      </c>
      <c r="I9" s="55">
        <f aca="true" t="shared" si="7" ref="I9:I37">G9-H9</f>
        <v>4.5</v>
      </c>
      <c r="J9" s="50">
        <f aca="true" t="shared" si="8" ref="J9:J37">C9*$C$3</f>
        <v>0</v>
      </c>
      <c r="K9" s="50">
        <f aca="true" t="shared" si="9" ref="K9:K37">D9*$D$3</f>
        <v>0</v>
      </c>
      <c r="L9" s="50">
        <f aca="true" t="shared" si="10" ref="L9:L37">E9*$E$3</f>
        <v>4.08</v>
      </c>
      <c r="M9" s="50">
        <f aca="true" t="shared" si="11" ref="M9:M37">F9*$F$3</f>
        <v>0</v>
      </c>
      <c r="N9" s="51">
        <f aca="true" t="shared" si="12" ref="N9:N37">SUM(J9:M9)</f>
        <v>4.08</v>
      </c>
      <c r="O9" s="50">
        <f t="shared" si="0"/>
        <v>0</v>
      </c>
      <c r="P9" s="50">
        <f t="shared" si="1"/>
        <v>0</v>
      </c>
      <c r="Q9" s="50">
        <f t="shared" si="2"/>
        <v>55.14705882352941</v>
      </c>
      <c r="R9" s="50">
        <f t="shared" si="3"/>
        <v>0</v>
      </c>
      <c r="S9" s="52">
        <f t="shared" si="4"/>
        <v>4.5</v>
      </c>
      <c r="T9" s="93">
        <v>3</v>
      </c>
      <c r="U9" s="94">
        <v>2.5</v>
      </c>
      <c r="V9" s="94">
        <v>2.2</v>
      </c>
      <c r="W9" s="8">
        <v>108</v>
      </c>
      <c r="X9" s="8"/>
      <c r="Y9" s="8"/>
      <c r="Z9" s="8"/>
      <c r="AA9" s="8"/>
      <c r="AB9" s="8"/>
      <c r="AC9" s="8"/>
      <c r="AD9" s="8">
        <v>92</v>
      </c>
      <c r="AE9" s="8">
        <v>81</v>
      </c>
    </row>
    <row r="10" spans="1:31" ht="12.75" customHeight="1">
      <c r="A10" s="53">
        <v>5</v>
      </c>
      <c r="B10" s="54">
        <f t="shared" si="6"/>
        <v>0.3125</v>
      </c>
      <c r="C10" s="11">
        <v>1</v>
      </c>
      <c r="D10" s="11">
        <v>1</v>
      </c>
      <c r="E10" s="11"/>
      <c r="F10" s="11"/>
      <c r="G10" s="48">
        <f>B10*$H$2</f>
        <v>28.125</v>
      </c>
      <c r="H10" s="49">
        <f t="shared" si="5"/>
        <v>22.5</v>
      </c>
      <c r="I10" s="55">
        <f t="shared" si="7"/>
        <v>5.625</v>
      </c>
      <c r="J10" s="50">
        <f t="shared" si="8"/>
        <v>2.1</v>
      </c>
      <c r="K10" s="50">
        <f t="shared" si="9"/>
        <v>3.63</v>
      </c>
      <c r="L10" s="50">
        <f t="shared" si="10"/>
        <v>0</v>
      </c>
      <c r="M10" s="50">
        <f t="shared" si="11"/>
        <v>0</v>
      </c>
      <c r="N10" s="51">
        <f t="shared" si="12"/>
        <v>5.73</v>
      </c>
      <c r="O10" s="50">
        <f t="shared" si="0"/>
        <v>49.08376963350785</v>
      </c>
      <c r="P10" s="50">
        <f t="shared" si="1"/>
        <v>49.08376963350785</v>
      </c>
      <c r="Q10" s="50">
        <f t="shared" si="2"/>
        <v>0</v>
      </c>
      <c r="R10" s="50">
        <f t="shared" si="3"/>
        <v>0</v>
      </c>
      <c r="S10" s="52">
        <f t="shared" si="4"/>
        <v>5.625</v>
      </c>
      <c r="T10" s="93">
        <v>4</v>
      </c>
      <c r="U10" s="94">
        <v>3.2</v>
      </c>
      <c r="V10" s="94">
        <v>2.9</v>
      </c>
      <c r="W10" s="8">
        <v>97</v>
      </c>
      <c r="X10" s="8"/>
      <c r="Y10" s="8"/>
      <c r="Z10" s="8"/>
      <c r="AA10" s="8"/>
      <c r="AB10" s="8"/>
      <c r="AC10" s="8"/>
      <c r="AD10" s="8">
        <v>82</v>
      </c>
      <c r="AE10" s="8">
        <v>73</v>
      </c>
    </row>
    <row r="11" spans="1:31" ht="12.75" customHeight="1">
      <c r="A11" s="53">
        <v>6</v>
      </c>
      <c r="B11" s="54">
        <f t="shared" si="6"/>
        <v>0.375</v>
      </c>
      <c r="C11" s="11"/>
      <c r="D11" s="11"/>
      <c r="E11" s="11"/>
      <c r="F11" s="11">
        <v>1</v>
      </c>
      <c r="G11" s="48">
        <f>B11*$H$2</f>
        <v>33.75</v>
      </c>
      <c r="H11" s="49">
        <f t="shared" si="5"/>
        <v>27</v>
      </c>
      <c r="I11" s="55">
        <f t="shared" si="7"/>
        <v>6.75</v>
      </c>
      <c r="J11" s="50">
        <f t="shared" si="8"/>
        <v>0</v>
      </c>
      <c r="K11" s="50">
        <f t="shared" si="9"/>
        <v>0</v>
      </c>
      <c r="L11" s="50">
        <f t="shared" si="10"/>
        <v>0</v>
      </c>
      <c r="M11" s="50">
        <f t="shared" si="11"/>
        <v>6.84</v>
      </c>
      <c r="N11" s="51">
        <f t="shared" si="12"/>
        <v>6.84</v>
      </c>
      <c r="O11" s="50">
        <f t="shared" si="0"/>
        <v>0</v>
      </c>
      <c r="P11" s="50">
        <f t="shared" si="1"/>
        <v>0</v>
      </c>
      <c r="Q11" s="50">
        <f t="shared" si="2"/>
        <v>0</v>
      </c>
      <c r="R11" s="50">
        <f t="shared" si="3"/>
        <v>49.3421052631579</v>
      </c>
      <c r="S11" s="52">
        <f t="shared" si="4"/>
        <v>6.750000000000001</v>
      </c>
      <c r="T11" s="93">
        <v>5</v>
      </c>
      <c r="U11" s="94">
        <v>4.2</v>
      </c>
      <c r="V11" s="94">
        <v>3.7</v>
      </c>
      <c r="W11" s="8">
        <v>88</v>
      </c>
      <c r="X11" s="8"/>
      <c r="Y11" s="8"/>
      <c r="Z11" s="8"/>
      <c r="AA11" s="8"/>
      <c r="AB11" s="8"/>
      <c r="AC11" s="8"/>
      <c r="AD11" s="8">
        <v>75</v>
      </c>
      <c r="AE11" s="8">
        <v>66</v>
      </c>
    </row>
    <row r="12" spans="1:31" ht="12.75" customHeight="1">
      <c r="A12" s="53">
        <v>7</v>
      </c>
      <c r="B12" s="54">
        <f t="shared" si="6"/>
        <v>0.4375</v>
      </c>
      <c r="C12" s="11"/>
      <c r="D12" s="11">
        <v>1</v>
      </c>
      <c r="E12" s="11">
        <v>1</v>
      </c>
      <c r="F12" s="11"/>
      <c r="G12" s="48">
        <f aca="true" t="shared" si="13" ref="G12:G37">B12*$H$2</f>
        <v>39.375</v>
      </c>
      <c r="H12" s="49">
        <f t="shared" si="5"/>
        <v>31.5</v>
      </c>
      <c r="I12" s="55">
        <f t="shared" si="7"/>
        <v>7.875</v>
      </c>
      <c r="J12" s="50">
        <f t="shared" si="8"/>
        <v>0</v>
      </c>
      <c r="K12" s="50">
        <f t="shared" si="9"/>
        <v>3.63</v>
      </c>
      <c r="L12" s="50">
        <f t="shared" si="10"/>
        <v>4.08</v>
      </c>
      <c r="M12" s="50">
        <f t="shared" si="11"/>
        <v>0</v>
      </c>
      <c r="N12" s="51">
        <f t="shared" si="12"/>
        <v>7.71</v>
      </c>
      <c r="O12" s="50">
        <f t="shared" si="0"/>
        <v>0</v>
      </c>
      <c r="P12" s="50">
        <f t="shared" si="1"/>
        <v>51.07003891050584</v>
      </c>
      <c r="Q12" s="50">
        <f t="shared" si="2"/>
        <v>51.070038910505836</v>
      </c>
      <c r="R12" s="50">
        <f t="shared" si="3"/>
        <v>0</v>
      </c>
      <c r="S12" s="52">
        <f t="shared" si="4"/>
        <v>7.875000000000001</v>
      </c>
      <c r="T12" s="93">
        <v>6</v>
      </c>
      <c r="U12" s="94">
        <v>5.1</v>
      </c>
      <c r="V12" s="94">
        <v>4.5</v>
      </c>
      <c r="W12" s="8">
        <v>82</v>
      </c>
      <c r="X12" s="8"/>
      <c r="Y12" s="8"/>
      <c r="Z12" s="8"/>
      <c r="AA12" s="8"/>
      <c r="AB12" s="8"/>
      <c r="AC12" s="8"/>
      <c r="AD12" s="8">
        <v>69</v>
      </c>
      <c r="AE12" s="8">
        <v>61</v>
      </c>
    </row>
    <row r="13" spans="1:31" ht="12.75" customHeight="1">
      <c r="A13" s="53">
        <v>8</v>
      </c>
      <c r="B13" s="54">
        <f t="shared" si="6"/>
        <v>0.5</v>
      </c>
      <c r="C13" s="11"/>
      <c r="D13" s="11"/>
      <c r="E13" s="11">
        <v>2</v>
      </c>
      <c r="F13" s="11"/>
      <c r="G13" s="48">
        <f t="shared" si="13"/>
        <v>45</v>
      </c>
      <c r="H13" s="49">
        <f t="shared" si="5"/>
        <v>36</v>
      </c>
      <c r="I13" s="55">
        <f t="shared" si="7"/>
        <v>9</v>
      </c>
      <c r="J13" s="50">
        <f t="shared" si="8"/>
        <v>0</v>
      </c>
      <c r="K13" s="50">
        <f t="shared" si="9"/>
        <v>0</v>
      </c>
      <c r="L13" s="50">
        <f t="shared" si="10"/>
        <v>8.16</v>
      </c>
      <c r="M13" s="50">
        <f t="shared" si="11"/>
        <v>0</v>
      </c>
      <c r="N13" s="51">
        <f t="shared" si="12"/>
        <v>8.16</v>
      </c>
      <c r="O13" s="50">
        <f t="shared" si="0"/>
        <v>0</v>
      </c>
      <c r="P13" s="50">
        <f t="shared" si="1"/>
        <v>0</v>
      </c>
      <c r="Q13" s="50">
        <f t="shared" si="2"/>
        <v>55.14705882352941</v>
      </c>
      <c r="R13" s="50">
        <f t="shared" si="3"/>
        <v>0</v>
      </c>
      <c r="S13" s="52">
        <f t="shared" si="4"/>
        <v>9</v>
      </c>
      <c r="T13" s="93">
        <v>7</v>
      </c>
      <c r="U13" s="94">
        <v>6</v>
      </c>
      <c r="V13" s="94">
        <v>5.3</v>
      </c>
      <c r="W13" s="8">
        <v>76</v>
      </c>
      <c r="X13" s="8"/>
      <c r="Y13" s="8"/>
      <c r="Z13" s="8"/>
      <c r="AA13" s="8"/>
      <c r="AB13" s="8"/>
      <c r="AC13" s="8"/>
      <c r="AD13" s="8">
        <v>65</v>
      </c>
      <c r="AE13" s="8">
        <v>57</v>
      </c>
    </row>
    <row r="14" spans="1:31" ht="12.75" customHeight="1">
      <c r="A14" s="53">
        <v>9</v>
      </c>
      <c r="B14" s="54">
        <f t="shared" si="6"/>
        <v>0.5625</v>
      </c>
      <c r="C14" s="11"/>
      <c r="D14" s="11">
        <v>3</v>
      </c>
      <c r="E14" s="11"/>
      <c r="F14" s="11"/>
      <c r="G14" s="48">
        <f t="shared" si="13"/>
        <v>50.625</v>
      </c>
      <c r="H14" s="49">
        <f t="shared" si="5"/>
        <v>40.5</v>
      </c>
      <c r="I14" s="55">
        <f t="shared" si="7"/>
        <v>10.125</v>
      </c>
      <c r="J14" s="50">
        <f t="shared" si="8"/>
        <v>0</v>
      </c>
      <c r="K14" s="50">
        <f t="shared" si="9"/>
        <v>10.89</v>
      </c>
      <c r="L14" s="50">
        <f t="shared" si="10"/>
        <v>0</v>
      </c>
      <c r="M14" s="50">
        <f t="shared" si="11"/>
        <v>0</v>
      </c>
      <c r="N14" s="51">
        <f t="shared" si="12"/>
        <v>10.89</v>
      </c>
      <c r="O14" s="50">
        <f t="shared" si="0"/>
        <v>0</v>
      </c>
      <c r="P14" s="50">
        <f t="shared" si="1"/>
        <v>46.48760330578512</v>
      </c>
      <c r="Q14" s="50">
        <f t="shared" si="2"/>
        <v>0</v>
      </c>
      <c r="R14" s="50">
        <f t="shared" si="3"/>
        <v>0</v>
      </c>
      <c r="S14" s="52">
        <f t="shared" si="4"/>
        <v>10.124999999999998</v>
      </c>
      <c r="T14" s="93">
        <v>8.5</v>
      </c>
      <c r="U14" s="94">
        <v>7</v>
      </c>
      <c r="V14" s="94">
        <v>6.4</v>
      </c>
      <c r="W14" s="8">
        <v>72</v>
      </c>
      <c r="X14" s="8"/>
      <c r="Y14" s="8"/>
      <c r="Z14" s="8"/>
      <c r="AA14" s="8"/>
      <c r="AB14" s="8"/>
      <c r="AC14" s="8"/>
      <c r="AD14" s="8">
        <v>61</v>
      </c>
      <c r="AE14" s="8">
        <v>54</v>
      </c>
    </row>
    <row r="15" spans="1:31" ht="12.75" customHeight="1">
      <c r="A15" s="53">
        <v>10</v>
      </c>
      <c r="B15" s="54">
        <f t="shared" si="6"/>
        <v>0.625</v>
      </c>
      <c r="C15" s="11">
        <v>2</v>
      </c>
      <c r="D15" s="11">
        <v>2</v>
      </c>
      <c r="E15" s="11"/>
      <c r="F15" s="11"/>
      <c r="G15" s="48">
        <f t="shared" si="13"/>
        <v>56.25</v>
      </c>
      <c r="H15" s="49">
        <f t="shared" si="5"/>
        <v>45</v>
      </c>
      <c r="I15" s="55">
        <f t="shared" si="7"/>
        <v>11.25</v>
      </c>
      <c r="J15" s="50">
        <f t="shared" si="8"/>
        <v>4.2</v>
      </c>
      <c r="K15" s="50">
        <f t="shared" si="9"/>
        <v>7.26</v>
      </c>
      <c r="L15" s="50">
        <f t="shared" si="10"/>
        <v>0</v>
      </c>
      <c r="M15" s="50">
        <f t="shared" si="11"/>
        <v>0</v>
      </c>
      <c r="N15" s="51">
        <f t="shared" si="12"/>
        <v>11.46</v>
      </c>
      <c r="O15" s="50">
        <f t="shared" si="0"/>
        <v>49.08376963350785</v>
      </c>
      <c r="P15" s="50">
        <f t="shared" si="1"/>
        <v>49.08376963350785</v>
      </c>
      <c r="Q15" s="50">
        <f t="shared" si="2"/>
        <v>0</v>
      </c>
      <c r="R15" s="50">
        <f t="shared" si="3"/>
        <v>0</v>
      </c>
      <c r="S15" s="52">
        <f t="shared" si="4"/>
        <v>11.25</v>
      </c>
      <c r="T15" s="93">
        <v>10</v>
      </c>
      <c r="U15" s="94">
        <v>8.5</v>
      </c>
      <c r="V15" s="94">
        <v>7.5</v>
      </c>
      <c r="W15" s="8">
        <v>68</v>
      </c>
      <c r="X15" s="8"/>
      <c r="Y15" s="8"/>
      <c r="Z15" s="8"/>
      <c r="AA15" s="8"/>
      <c r="AB15" s="8"/>
      <c r="AC15" s="8"/>
      <c r="AD15" s="8">
        <v>58</v>
      </c>
      <c r="AE15" s="8">
        <v>51</v>
      </c>
    </row>
    <row r="16" spans="1:31" ht="12.75" customHeight="1">
      <c r="A16" s="53">
        <v>11</v>
      </c>
      <c r="B16" s="54">
        <f t="shared" si="6"/>
        <v>0.6875</v>
      </c>
      <c r="C16" s="11">
        <v>1</v>
      </c>
      <c r="D16" s="11">
        <v>3</v>
      </c>
      <c r="E16" s="11"/>
      <c r="F16" s="11"/>
      <c r="G16" s="48">
        <f t="shared" si="13"/>
        <v>61.875</v>
      </c>
      <c r="H16" s="49">
        <f t="shared" si="5"/>
        <v>49.5</v>
      </c>
      <c r="I16" s="55">
        <f t="shared" si="7"/>
        <v>12.375</v>
      </c>
      <c r="J16" s="50">
        <f t="shared" si="8"/>
        <v>2.1</v>
      </c>
      <c r="K16" s="50">
        <f t="shared" si="9"/>
        <v>10.89</v>
      </c>
      <c r="L16" s="50">
        <f t="shared" si="10"/>
        <v>0</v>
      </c>
      <c r="M16" s="50">
        <f t="shared" si="11"/>
        <v>0</v>
      </c>
      <c r="N16" s="51">
        <f t="shared" si="12"/>
        <v>12.99</v>
      </c>
      <c r="O16" s="50">
        <f t="shared" si="0"/>
        <v>47.63279445727482</v>
      </c>
      <c r="P16" s="50">
        <f t="shared" si="1"/>
        <v>47.63279445727483</v>
      </c>
      <c r="Q16" s="50">
        <f t="shared" si="2"/>
        <v>0</v>
      </c>
      <c r="R16" s="50">
        <f t="shared" si="3"/>
        <v>0</v>
      </c>
      <c r="S16" s="52">
        <f t="shared" si="4"/>
        <v>12.374999999999998</v>
      </c>
      <c r="T16" s="93">
        <v>11.5</v>
      </c>
      <c r="U16" s="94">
        <v>9.8</v>
      </c>
      <c r="V16" s="94">
        <v>8.6</v>
      </c>
      <c r="W16" s="8">
        <v>65</v>
      </c>
      <c r="X16" s="8"/>
      <c r="Y16" s="8"/>
      <c r="Z16" s="8"/>
      <c r="AA16" s="8"/>
      <c r="AB16" s="8"/>
      <c r="AC16" s="8"/>
      <c r="AD16" s="8">
        <v>55</v>
      </c>
      <c r="AE16" s="8">
        <v>49</v>
      </c>
    </row>
    <row r="17" spans="1:31" ht="12.75" customHeight="1">
      <c r="A17" s="53">
        <v>12</v>
      </c>
      <c r="B17" s="54">
        <f t="shared" si="6"/>
        <v>0.75</v>
      </c>
      <c r="C17" s="11"/>
      <c r="D17" s="11"/>
      <c r="E17" s="11"/>
      <c r="F17" s="11">
        <v>2</v>
      </c>
      <c r="G17" s="48">
        <f t="shared" si="13"/>
        <v>67.5</v>
      </c>
      <c r="H17" s="49">
        <f t="shared" si="5"/>
        <v>54</v>
      </c>
      <c r="I17" s="55">
        <f t="shared" si="7"/>
        <v>13.5</v>
      </c>
      <c r="J17" s="50">
        <f t="shared" si="8"/>
        <v>0</v>
      </c>
      <c r="K17" s="50">
        <f t="shared" si="9"/>
        <v>0</v>
      </c>
      <c r="L17" s="50">
        <f t="shared" si="10"/>
        <v>0</v>
      </c>
      <c r="M17" s="50">
        <f t="shared" si="11"/>
        <v>13.68</v>
      </c>
      <c r="N17" s="51">
        <f t="shared" si="12"/>
        <v>13.68</v>
      </c>
      <c r="O17" s="50">
        <f t="shared" si="0"/>
        <v>0</v>
      </c>
      <c r="P17" s="50">
        <f t="shared" si="1"/>
        <v>0</v>
      </c>
      <c r="Q17" s="50">
        <f t="shared" si="2"/>
        <v>0</v>
      </c>
      <c r="R17" s="50">
        <f t="shared" si="3"/>
        <v>49.3421052631579</v>
      </c>
      <c r="S17" s="52">
        <f t="shared" si="4"/>
        <v>13.500000000000002</v>
      </c>
      <c r="T17" s="93">
        <v>13</v>
      </c>
      <c r="U17" s="94">
        <v>11</v>
      </c>
      <c r="V17" s="94">
        <v>9.7</v>
      </c>
      <c r="W17" s="8">
        <v>62</v>
      </c>
      <c r="X17" s="8"/>
      <c r="Y17" s="8"/>
      <c r="Z17" s="8"/>
      <c r="AA17" s="8"/>
      <c r="AB17" s="8"/>
      <c r="AC17" s="8"/>
      <c r="AD17" s="8">
        <v>53</v>
      </c>
      <c r="AE17" s="8">
        <v>47</v>
      </c>
    </row>
    <row r="18" spans="1:31" ht="12.75" customHeight="1">
      <c r="A18" s="53">
        <v>13</v>
      </c>
      <c r="B18" s="54">
        <f t="shared" si="6"/>
        <v>0.8125</v>
      </c>
      <c r="C18" s="11">
        <v>1</v>
      </c>
      <c r="D18" s="11">
        <v>1</v>
      </c>
      <c r="E18" s="11">
        <v>2</v>
      </c>
      <c r="F18" s="11"/>
      <c r="G18" s="48">
        <f t="shared" si="13"/>
        <v>73.125</v>
      </c>
      <c r="H18" s="49">
        <f t="shared" si="5"/>
        <v>58.5</v>
      </c>
      <c r="I18" s="55">
        <f t="shared" si="7"/>
        <v>14.625</v>
      </c>
      <c r="J18" s="50">
        <f t="shared" si="8"/>
        <v>2.1</v>
      </c>
      <c r="K18" s="50">
        <f t="shared" si="9"/>
        <v>3.63</v>
      </c>
      <c r="L18" s="50">
        <f t="shared" si="10"/>
        <v>8.16</v>
      </c>
      <c r="M18" s="50">
        <f t="shared" si="11"/>
        <v>0</v>
      </c>
      <c r="N18" s="51">
        <f t="shared" si="12"/>
        <v>13.89</v>
      </c>
      <c r="O18" s="50">
        <f t="shared" si="0"/>
        <v>52.645788336933045</v>
      </c>
      <c r="P18" s="50">
        <f t="shared" si="1"/>
        <v>52.645788336933045</v>
      </c>
      <c r="Q18" s="50">
        <f t="shared" si="2"/>
        <v>52.645788336933045</v>
      </c>
      <c r="R18" s="50">
        <f t="shared" si="3"/>
        <v>0</v>
      </c>
      <c r="S18" s="52">
        <f t="shared" si="4"/>
        <v>14.625</v>
      </c>
      <c r="T18" s="95">
        <f>(T17+T19)/2</f>
        <v>14.5</v>
      </c>
      <c r="U18" s="95">
        <f>(U17+U19)/2</f>
        <v>12.3</v>
      </c>
      <c r="V18" s="95">
        <f>(V17+V19)/2</f>
        <v>10.85</v>
      </c>
      <c r="W18" s="95">
        <f>(W17+W19)/2</f>
        <v>60</v>
      </c>
      <c r="X18" s="96"/>
      <c r="Y18" s="96"/>
      <c r="Z18" s="96"/>
      <c r="AA18" s="96"/>
      <c r="AB18" s="96"/>
      <c r="AC18" s="96"/>
      <c r="AD18" s="95">
        <f>(AD17+AD19)/2</f>
        <v>51</v>
      </c>
      <c r="AE18" s="95">
        <f>(AE17+AE19)/2</f>
        <v>45</v>
      </c>
    </row>
    <row r="19" spans="1:31" ht="12.75" customHeight="1">
      <c r="A19" s="53">
        <v>14</v>
      </c>
      <c r="B19" s="54">
        <f t="shared" si="6"/>
        <v>0.875</v>
      </c>
      <c r="C19" s="11">
        <v>1</v>
      </c>
      <c r="D19" s="11"/>
      <c r="E19" s="11">
        <v>3</v>
      </c>
      <c r="F19" s="11"/>
      <c r="G19" s="48">
        <f t="shared" si="13"/>
        <v>78.75</v>
      </c>
      <c r="H19" s="49">
        <f t="shared" si="5"/>
        <v>63</v>
      </c>
      <c r="I19" s="55">
        <f t="shared" si="7"/>
        <v>15.75</v>
      </c>
      <c r="J19" s="50">
        <f t="shared" si="8"/>
        <v>2.1</v>
      </c>
      <c r="K19" s="50">
        <f t="shared" si="9"/>
        <v>0</v>
      </c>
      <c r="L19" s="50">
        <f t="shared" si="10"/>
        <v>12.24</v>
      </c>
      <c r="M19" s="50">
        <f t="shared" si="11"/>
        <v>0</v>
      </c>
      <c r="N19" s="51">
        <f t="shared" si="12"/>
        <v>14.34</v>
      </c>
      <c r="O19" s="50">
        <f t="shared" si="0"/>
        <v>54.91631799163181</v>
      </c>
      <c r="P19" s="50">
        <f t="shared" si="1"/>
        <v>0</v>
      </c>
      <c r="Q19" s="50">
        <f t="shared" si="2"/>
        <v>54.9163179916318</v>
      </c>
      <c r="R19" s="50">
        <f t="shared" si="3"/>
        <v>0</v>
      </c>
      <c r="S19" s="52">
        <f t="shared" si="4"/>
        <v>15.75</v>
      </c>
      <c r="T19" s="10">
        <v>16</v>
      </c>
      <c r="U19" s="8">
        <v>13.6</v>
      </c>
      <c r="V19" s="8">
        <v>12</v>
      </c>
      <c r="W19" s="8">
        <v>58</v>
      </c>
      <c r="X19" s="8"/>
      <c r="Y19" s="8"/>
      <c r="Z19" s="8"/>
      <c r="AA19" s="8"/>
      <c r="AB19" s="8"/>
      <c r="AC19" s="8"/>
      <c r="AD19" s="8">
        <v>49</v>
      </c>
      <c r="AE19" s="8">
        <v>43</v>
      </c>
    </row>
    <row r="20" spans="1:31" ht="12.75" customHeight="1">
      <c r="A20" s="53">
        <v>15</v>
      </c>
      <c r="B20" s="54">
        <f t="shared" si="6"/>
        <v>0.9375</v>
      </c>
      <c r="C20" s="11"/>
      <c r="D20" s="11">
        <v>5</v>
      </c>
      <c r="E20" s="11"/>
      <c r="F20" s="11"/>
      <c r="G20" s="48">
        <f t="shared" si="13"/>
        <v>84.375</v>
      </c>
      <c r="H20" s="49">
        <f t="shared" si="5"/>
        <v>67.5</v>
      </c>
      <c r="I20" s="55">
        <f t="shared" si="7"/>
        <v>16.875</v>
      </c>
      <c r="J20" s="50">
        <f t="shared" si="8"/>
        <v>0</v>
      </c>
      <c r="K20" s="50">
        <f t="shared" si="9"/>
        <v>18.15</v>
      </c>
      <c r="L20" s="50">
        <f t="shared" si="10"/>
        <v>0</v>
      </c>
      <c r="M20" s="50">
        <f t="shared" si="11"/>
        <v>0</v>
      </c>
      <c r="N20" s="51">
        <f t="shared" si="12"/>
        <v>18.15</v>
      </c>
      <c r="O20" s="50">
        <f t="shared" si="0"/>
        <v>0</v>
      </c>
      <c r="P20" s="50">
        <f t="shared" si="1"/>
        <v>46.48760330578513</v>
      </c>
      <c r="Q20" s="50">
        <f t="shared" si="2"/>
        <v>0</v>
      </c>
      <c r="R20" s="50">
        <f t="shared" si="3"/>
        <v>0</v>
      </c>
      <c r="S20" s="52">
        <f t="shared" si="4"/>
        <v>16.875000000000004</v>
      </c>
      <c r="T20" s="10">
        <v>17</v>
      </c>
      <c r="U20" s="8">
        <v>15</v>
      </c>
      <c r="V20" s="8">
        <v>13</v>
      </c>
      <c r="W20" s="8">
        <v>56</v>
      </c>
      <c r="X20" s="8"/>
      <c r="Y20" s="8"/>
      <c r="Z20" s="8"/>
      <c r="AA20" s="8"/>
      <c r="AB20" s="8"/>
      <c r="AC20" s="8"/>
      <c r="AD20" s="8">
        <v>49</v>
      </c>
      <c r="AE20" s="8">
        <v>43</v>
      </c>
    </row>
    <row r="21" spans="1:31" ht="12.75" customHeight="1">
      <c r="A21" s="53">
        <v>16</v>
      </c>
      <c r="B21" s="54">
        <f t="shared" si="6"/>
        <v>1</v>
      </c>
      <c r="C21" s="11"/>
      <c r="D21" s="11"/>
      <c r="E21" s="11">
        <v>4</v>
      </c>
      <c r="F21" s="11"/>
      <c r="G21" s="48">
        <f t="shared" si="13"/>
        <v>90</v>
      </c>
      <c r="H21" s="49">
        <f t="shared" si="5"/>
        <v>72</v>
      </c>
      <c r="I21" s="55">
        <f t="shared" si="7"/>
        <v>18</v>
      </c>
      <c r="J21" s="50">
        <f t="shared" si="8"/>
        <v>0</v>
      </c>
      <c r="K21" s="50">
        <f t="shared" si="9"/>
        <v>0</v>
      </c>
      <c r="L21" s="50">
        <f t="shared" si="10"/>
        <v>16.32</v>
      </c>
      <c r="M21" s="50">
        <f t="shared" si="11"/>
        <v>0</v>
      </c>
      <c r="N21" s="51">
        <f t="shared" si="12"/>
        <v>16.32</v>
      </c>
      <c r="O21" s="50">
        <f t="shared" si="0"/>
        <v>0</v>
      </c>
      <c r="P21" s="50">
        <f t="shared" si="1"/>
        <v>0</v>
      </c>
      <c r="Q21" s="50">
        <f t="shared" si="2"/>
        <v>55.14705882352941</v>
      </c>
      <c r="R21" s="50">
        <f t="shared" si="3"/>
        <v>0</v>
      </c>
      <c r="S21" s="52">
        <f t="shared" si="4"/>
        <v>18</v>
      </c>
      <c r="T21" s="10">
        <v>19</v>
      </c>
      <c r="U21" s="8">
        <v>16</v>
      </c>
      <c r="V21" s="8">
        <v>14</v>
      </c>
      <c r="W21" s="8">
        <v>54</v>
      </c>
      <c r="X21" s="8"/>
      <c r="Y21" s="8"/>
      <c r="Z21" s="8"/>
      <c r="AA21" s="8"/>
      <c r="AB21" s="8"/>
      <c r="AC21" s="8"/>
      <c r="AD21" s="8">
        <v>46</v>
      </c>
      <c r="AE21" s="8">
        <v>41</v>
      </c>
    </row>
    <row r="22" spans="1:31" ht="12.75" customHeight="1">
      <c r="A22" s="53">
        <v>17</v>
      </c>
      <c r="B22" s="54">
        <f t="shared" si="6"/>
        <v>1.0625</v>
      </c>
      <c r="C22" s="11">
        <v>1</v>
      </c>
      <c r="D22" s="11">
        <v>5</v>
      </c>
      <c r="E22" s="11"/>
      <c r="F22" s="11"/>
      <c r="G22" s="48">
        <f t="shared" si="13"/>
        <v>95.625</v>
      </c>
      <c r="H22" s="49">
        <f t="shared" si="5"/>
        <v>76.5</v>
      </c>
      <c r="I22" s="55">
        <f t="shared" si="7"/>
        <v>19.125</v>
      </c>
      <c r="J22" s="50">
        <f t="shared" si="8"/>
        <v>2.1</v>
      </c>
      <c r="K22" s="50">
        <f t="shared" si="9"/>
        <v>18.15</v>
      </c>
      <c r="L22" s="50">
        <f t="shared" si="10"/>
        <v>0</v>
      </c>
      <c r="M22" s="50">
        <f t="shared" si="11"/>
        <v>0</v>
      </c>
      <c r="N22" s="51">
        <f t="shared" si="12"/>
        <v>20.25</v>
      </c>
      <c r="O22" s="50">
        <f t="shared" si="0"/>
        <v>47.22222222222222</v>
      </c>
      <c r="P22" s="50">
        <f t="shared" si="1"/>
        <v>47.22222222222222</v>
      </c>
      <c r="Q22" s="50">
        <f t="shared" si="2"/>
        <v>0</v>
      </c>
      <c r="R22" s="50">
        <f t="shared" si="3"/>
        <v>0</v>
      </c>
      <c r="S22" s="52">
        <f t="shared" si="4"/>
        <v>19.125</v>
      </c>
      <c r="T22" s="95">
        <f>(T21+T23)/2</f>
        <v>21</v>
      </c>
      <c r="U22" s="95">
        <f>(U21+U23)/2</f>
        <v>17.5</v>
      </c>
      <c r="V22" s="95">
        <f>(V21+V23)/2</f>
        <v>15.5</v>
      </c>
      <c r="W22" s="95">
        <f>(W21+W23)/2</f>
        <v>52.5</v>
      </c>
      <c r="X22" s="8"/>
      <c r="Y22" s="8"/>
      <c r="Z22" s="8"/>
      <c r="AA22" s="8"/>
      <c r="AB22" s="8"/>
      <c r="AC22" s="8"/>
      <c r="AD22" s="95">
        <f>(AD21+AD23)/2</f>
        <v>44.5</v>
      </c>
      <c r="AE22" s="95">
        <f>(AE21+AE23)/2</f>
        <v>39.5</v>
      </c>
    </row>
    <row r="23" spans="1:31" ht="12.75" customHeight="1">
      <c r="A23" s="53">
        <v>18</v>
      </c>
      <c r="B23" s="54">
        <f t="shared" si="6"/>
        <v>1.125</v>
      </c>
      <c r="C23" s="11"/>
      <c r="D23" s="11"/>
      <c r="E23" s="11"/>
      <c r="F23" s="11">
        <v>3</v>
      </c>
      <c r="G23" s="48">
        <f t="shared" si="13"/>
        <v>101.25</v>
      </c>
      <c r="H23" s="49">
        <f t="shared" si="5"/>
        <v>81</v>
      </c>
      <c r="I23" s="55">
        <f t="shared" si="7"/>
        <v>20.25</v>
      </c>
      <c r="J23" s="50">
        <f t="shared" si="8"/>
        <v>0</v>
      </c>
      <c r="K23" s="50">
        <f t="shared" si="9"/>
        <v>0</v>
      </c>
      <c r="L23" s="50">
        <f t="shared" si="10"/>
        <v>0</v>
      </c>
      <c r="M23" s="50">
        <f t="shared" si="11"/>
        <v>20.52</v>
      </c>
      <c r="N23" s="51">
        <f t="shared" si="12"/>
        <v>20.52</v>
      </c>
      <c r="O23" s="50">
        <f t="shared" si="0"/>
        <v>0</v>
      </c>
      <c r="P23" s="50">
        <f t="shared" si="1"/>
        <v>0</v>
      </c>
      <c r="Q23" s="50">
        <f t="shared" si="2"/>
        <v>0</v>
      </c>
      <c r="R23" s="50">
        <f t="shared" si="3"/>
        <v>49.3421052631579</v>
      </c>
      <c r="S23" s="52">
        <f t="shared" si="4"/>
        <v>20.250000000000004</v>
      </c>
      <c r="T23" s="10">
        <v>23</v>
      </c>
      <c r="U23" s="8">
        <v>19</v>
      </c>
      <c r="V23" s="8">
        <v>17</v>
      </c>
      <c r="W23" s="8">
        <v>51</v>
      </c>
      <c r="X23" s="8"/>
      <c r="Y23" s="8"/>
      <c r="Z23" s="8"/>
      <c r="AA23" s="8"/>
      <c r="AB23" s="8"/>
      <c r="AC23" s="8"/>
      <c r="AD23" s="8">
        <v>43</v>
      </c>
      <c r="AE23" s="8">
        <v>38</v>
      </c>
    </row>
    <row r="24" spans="1:31" ht="12.75" customHeight="1">
      <c r="A24" s="53">
        <v>19</v>
      </c>
      <c r="B24" s="54">
        <f t="shared" si="6"/>
        <v>1.1875</v>
      </c>
      <c r="C24" s="11"/>
      <c r="D24" s="11">
        <v>1</v>
      </c>
      <c r="E24" s="11">
        <v>4</v>
      </c>
      <c r="F24" s="11"/>
      <c r="G24" s="48">
        <f t="shared" si="13"/>
        <v>106.875</v>
      </c>
      <c r="H24" s="49">
        <f t="shared" si="5"/>
        <v>85.5</v>
      </c>
      <c r="I24" s="55">
        <f t="shared" si="7"/>
        <v>21.375</v>
      </c>
      <c r="J24" s="50">
        <f t="shared" si="8"/>
        <v>0</v>
      </c>
      <c r="K24" s="50">
        <f t="shared" si="9"/>
        <v>3.63</v>
      </c>
      <c r="L24" s="50">
        <f t="shared" si="10"/>
        <v>16.32</v>
      </c>
      <c r="M24" s="50">
        <f t="shared" si="11"/>
        <v>0</v>
      </c>
      <c r="N24" s="51">
        <f t="shared" si="12"/>
        <v>19.95</v>
      </c>
      <c r="O24" s="50">
        <f t="shared" si="0"/>
        <v>0</v>
      </c>
      <c r="P24" s="50">
        <f t="shared" si="1"/>
        <v>53.57142857142858</v>
      </c>
      <c r="Q24" s="50">
        <f t="shared" si="2"/>
        <v>53.57142857142858</v>
      </c>
      <c r="R24" s="50">
        <f t="shared" si="3"/>
        <v>0</v>
      </c>
      <c r="S24" s="52">
        <f t="shared" si="4"/>
        <v>21.375000000000004</v>
      </c>
      <c r="T24" s="95">
        <f>(T23+T25)/2</f>
        <v>24.5</v>
      </c>
      <c r="U24" s="95">
        <f>(U23+U25)/2</f>
        <v>20.5</v>
      </c>
      <c r="V24" s="95">
        <f>(V23+V25)/2</f>
        <v>18.5</v>
      </c>
      <c r="W24" s="95">
        <f>(W23+W25)/2</f>
        <v>49.5</v>
      </c>
      <c r="X24" s="8"/>
      <c r="Y24" s="8"/>
      <c r="Z24" s="8"/>
      <c r="AA24" s="8"/>
      <c r="AB24" s="8"/>
      <c r="AC24" s="8"/>
      <c r="AD24" s="95">
        <f>(AD23+AD25)/2</f>
        <v>42</v>
      </c>
      <c r="AE24" s="95">
        <f>(AE23+AE25)/2</f>
        <v>37</v>
      </c>
    </row>
    <row r="25" spans="1:31" ht="12.75" customHeight="1">
      <c r="A25" s="53">
        <v>20</v>
      </c>
      <c r="B25" s="54">
        <f t="shared" si="6"/>
        <v>1.25</v>
      </c>
      <c r="C25" s="11"/>
      <c r="D25" s="11"/>
      <c r="E25" s="11">
        <v>5</v>
      </c>
      <c r="F25" s="11"/>
      <c r="G25" s="48">
        <f t="shared" si="13"/>
        <v>112.5</v>
      </c>
      <c r="H25" s="49">
        <f t="shared" si="5"/>
        <v>90</v>
      </c>
      <c r="I25" s="55">
        <f t="shared" si="7"/>
        <v>22.5</v>
      </c>
      <c r="J25" s="50">
        <f t="shared" si="8"/>
        <v>0</v>
      </c>
      <c r="K25" s="50">
        <f t="shared" si="9"/>
        <v>0</v>
      </c>
      <c r="L25" s="50">
        <f t="shared" si="10"/>
        <v>20.4</v>
      </c>
      <c r="M25" s="50">
        <f t="shared" si="11"/>
        <v>0</v>
      </c>
      <c r="N25" s="51">
        <f t="shared" si="12"/>
        <v>20.4</v>
      </c>
      <c r="O25" s="50">
        <f t="shared" si="0"/>
        <v>0</v>
      </c>
      <c r="P25" s="50">
        <f t="shared" si="1"/>
        <v>0</v>
      </c>
      <c r="Q25" s="50">
        <f t="shared" si="2"/>
        <v>55.14705882352941</v>
      </c>
      <c r="R25" s="50">
        <f t="shared" si="3"/>
        <v>0</v>
      </c>
      <c r="S25" s="52">
        <f t="shared" si="4"/>
        <v>22.5</v>
      </c>
      <c r="T25" s="10">
        <v>26</v>
      </c>
      <c r="U25" s="8">
        <v>22</v>
      </c>
      <c r="V25" s="8">
        <v>20</v>
      </c>
      <c r="W25" s="8">
        <v>48</v>
      </c>
      <c r="X25" s="8"/>
      <c r="Y25" s="8"/>
      <c r="Z25" s="8"/>
      <c r="AA25" s="8"/>
      <c r="AB25" s="8"/>
      <c r="AC25" s="8"/>
      <c r="AD25" s="8">
        <v>41</v>
      </c>
      <c r="AE25" s="8">
        <v>36</v>
      </c>
    </row>
    <row r="26" spans="1:31" ht="12.75" customHeight="1">
      <c r="A26" s="53">
        <v>21</v>
      </c>
      <c r="B26" s="54">
        <f t="shared" si="6"/>
        <v>1.3125</v>
      </c>
      <c r="C26" s="11"/>
      <c r="D26" s="11">
        <v>7</v>
      </c>
      <c r="E26" s="11"/>
      <c r="F26" s="11"/>
      <c r="G26" s="48">
        <f t="shared" si="13"/>
        <v>118.125</v>
      </c>
      <c r="H26" s="49">
        <f t="shared" si="5"/>
        <v>94.5</v>
      </c>
      <c r="I26" s="55">
        <f t="shared" si="7"/>
        <v>23.625</v>
      </c>
      <c r="J26" s="50">
        <f t="shared" si="8"/>
        <v>0</v>
      </c>
      <c r="K26" s="50">
        <f t="shared" si="9"/>
        <v>25.41</v>
      </c>
      <c r="L26" s="50">
        <f t="shared" si="10"/>
        <v>0</v>
      </c>
      <c r="M26" s="50">
        <f t="shared" si="11"/>
        <v>0</v>
      </c>
      <c r="N26" s="51">
        <f t="shared" si="12"/>
        <v>25.41</v>
      </c>
      <c r="O26" s="50">
        <f t="shared" si="0"/>
        <v>0</v>
      </c>
      <c r="P26" s="50">
        <f t="shared" si="1"/>
        <v>46.48760330578512</v>
      </c>
      <c r="Q26" s="50">
        <f t="shared" si="2"/>
        <v>0</v>
      </c>
      <c r="R26" s="50">
        <f t="shared" si="3"/>
        <v>0</v>
      </c>
      <c r="S26" s="52">
        <f t="shared" si="4"/>
        <v>23.624999999999996</v>
      </c>
      <c r="T26" s="10">
        <v>28</v>
      </c>
      <c r="U26" s="8">
        <v>24</v>
      </c>
      <c r="V26" s="8">
        <v>21</v>
      </c>
      <c r="W26" s="8">
        <v>47</v>
      </c>
      <c r="X26" s="8"/>
      <c r="Y26" s="8"/>
      <c r="Z26" s="8"/>
      <c r="AA26" s="8"/>
      <c r="AB26" s="8"/>
      <c r="AC26" s="8"/>
      <c r="AD26" s="8">
        <v>40</v>
      </c>
      <c r="AE26" s="8">
        <v>35</v>
      </c>
    </row>
    <row r="27" spans="1:31" ht="12.75" customHeight="1">
      <c r="A27" s="53">
        <v>22</v>
      </c>
      <c r="B27" s="54">
        <f t="shared" si="6"/>
        <v>1.375</v>
      </c>
      <c r="C27" s="11">
        <v>1</v>
      </c>
      <c r="D27" s="11"/>
      <c r="E27" s="11">
        <v>5</v>
      </c>
      <c r="F27" s="11"/>
      <c r="G27" s="48">
        <f t="shared" si="13"/>
        <v>123.75</v>
      </c>
      <c r="H27" s="49">
        <f t="shared" si="5"/>
        <v>99</v>
      </c>
      <c r="I27" s="55">
        <f t="shared" si="7"/>
        <v>24.75</v>
      </c>
      <c r="J27" s="50">
        <f t="shared" si="8"/>
        <v>2.1</v>
      </c>
      <c r="K27" s="50">
        <f t="shared" si="9"/>
        <v>0</v>
      </c>
      <c r="L27" s="50">
        <f t="shared" si="10"/>
        <v>20.4</v>
      </c>
      <c r="M27" s="50">
        <f t="shared" si="11"/>
        <v>0</v>
      </c>
      <c r="N27" s="51">
        <f t="shared" si="12"/>
        <v>22.5</v>
      </c>
      <c r="O27" s="50">
        <f t="shared" si="0"/>
        <v>55</v>
      </c>
      <c r="P27" s="50">
        <f t="shared" si="1"/>
        <v>0</v>
      </c>
      <c r="Q27" s="50">
        <f t="shared" si="2"/>
        <v>55.00000000000001</v>
      </c>
      <c r="R27" s="50">
        <f t="shared" si="3"/>
        <v>0</v>
      </c>
      <c r="S27" s="52">
        <f t="shared" si="4"/>
        <v>24.750000000000004</v>
      </c>
      <c r="T27" s="97">
        <f>((T29-T26)/3)+T26</f>
        <v>30</v>
      </c>
      <c r="U27" s="97">
        <f aca="true" t="shared" si="14" ref="U27:AE27">((U29-U26)/3)+U26</f>
        <v>25.666666666666668</v>
      </c>
      <c r="V27" s="97">
        <f t="shared" si="14"/>
        <v>22.666666666666668</v>
      </c>
      <c r="W27" s="97">
        <f t="shared" si="14"/>
        <v>46</v>
      </c>
      <c r="X27" s="97">
        <f t="shared" si="14"/>
        <v>0</v>
      </c>
      <c r="Y27" s="97">
        <f t="shared" si="14"/>
        <v>0</v>
      </c>
      <c r="Z27" s="97">
        <f t="shared" si="14"/>
        <v>0</v>
      </c>
      <c r="AA27" s="97">
        <f t="shared" si="14"/>
        <v>0</v>
      </c>
      <c r="AB27" s="97">
        <f t="shared" si="14"/>
        <v>0</v>
      </c>
      <c r="AC27" s="97">
        <f t="shared" si="14"/>
        <v>0</v>
      </c>
      <c r="AD27" s="97">
        <f t="shared" si="14"/>
        <v>39.333333333333336</v>
      </c>
      <c r="AE27" s="97">
        <f t="shared" si="14"/>
        <v>34.333333333333336</v>
      </c>
    </row>
    <row r="28" spans="1:31" ht="12.75" customHeight="1">
      <c r="A28" s="53">
        <v>23</v>
      </c>
      <c r="B28" s="54">
        <f t="shared" si="6"/>
        <v>1.4375</v>
      </c>
      <c r="C28" s="11"/>
      <c r="D28" s="11">
        <v>1</v>
      </c>
      <c r="E28" s="11">
        <v>5</v>
      </c>
      <c r="F28" s="11"/>
      <c r="G28" s="48">
        <f t="shared" si="13"/>
        <v>129.375</v>
      </c>
      <c r="H28" s="49">
        <f t="shared" si="5"/>
        <v>103.5</v>
      </c>
      <c r="I28" s="55">
        <f t="shared" si="7"/>
        <v>25.875</v>
      </c>
      <c r="J28" s="50">
        <f t="shared" si="8"/>
        <v>0</v>
      </c>
      <c r="K28" s="50">
        <f t="shared" si="9"/>
        <v>3.63</v>
      </c>
      <c r="L28" s="50">
        <f t="shared" si="10"/>
        <v>20.4</v>
      </c>
      <c r="M28" s="50">
        <f t="shared" si="11"/>
        <v>0</v>
      </c>
      <c r="N28" s="51">
        <f t="shared" si="12"/>
        <v>24.029999999999998</v>
      </c>
      <c r="O28" s="50">
        <f t="shared" si="0"/>
        <v>0</v>
      </c>
      <c r="P28" s="50">
        <f t="shared" si="1"/>
        <v>53.83895131086143</v>
      </c>
      <c r="Q28" s="50">
        <f t="shared" si="2"/>
        <v>53.83895131086144</v>
      </c>
      <c r="R28" s="50">
        <f t="shared" si="3"/>
        <v>0</v>
      </c>
      <c r="S28" s="52">
        <f t="shared" si="4"/>
        <v>25.87500000000001</v>
      </c>
      <c r="T28" s="97">
        <f>((T29-T26)*0.666)+T26</f>
        <v>31.996000000000002</v>
      </c>
      <c r="U28" s="97">
        <f aca="true" t="shared" si="15" ref="U28:AE28">((U29-U26)*0.666)+U26</f>
        <v>27.33</v>
      </c>
      <c r="V28" s="97">
        <f t="shared" si="15"/>
        <v>24.33</v>
      </c>
      <c r="W28" s="97">
        <f t="shared" si="15"/>
        <v>45.002</v>
      </c>
      <c r="X28" s="97">
        <f t="shared" si="15"/>
        <v>0</v>
      </c>
      <c r="Y28" s="97">
        <f t="shared" si="15"/>
        <v>0</v>
      </c>
      <c r="Z28" s="97">
        <f t="shared" si="15"/>
        <v>0</v>
      </c>
      <c r="AA28" s="97">
        <f t="shared" si="15"/>
        <v>0</v>
      </c>
      <c r="AB28" s="97">
        <f t="shared" si="15"/>
        <v>0</v>
      </c>
      <c r="AC28" s="97">
        <f t="shared" si="15"/>
        <v>0</v>
      </c>
      <c r="AD28" s="97">
        <f t="shared" si="15"/>
        <v>38.668</v>
      </c>
      <c r="AE28" s="97">
        <f t="shared" si="15"/>
        <v>33.668</v>
      </c>
    </row>
    <row r="29" spans="1:31" ht="12.75" customHeight="1">
      <c r="A29" s="53">
        <v>24</v>
      </c>
      <c r="B29" s="54">
        <f t="shared" si="6"/>
        <v>1.5</v>
      </c>
      <c r="C29" s="11"/>
      <c r="D29" s="11"/>
      <c r="E29" s="11"/>
      <c r="F29" s="11">
        <v>4</v>
      </c>
      <c r="G29" s="48">
        <f t="shared" si="13"/>
        <v>135</v>
      </c>
      <c r="H29" s="49">
        <f t="shared" si="5"/>
        <v>108</v>
      </c>
      <c r="I29" s="55">
        <f t="shared" si="7"/>
        <v>27</v>
      </c>
      <c r="J29" s="50">
        <f t="shared" si="8"/>
        <v>0</v>
      </c>
      <c r="K29" s="50">
        <f t="shared" si="9"/>
        <v>0</v>
      </c>
      <c r="L29" s="50">
        <f t="shared" si="10"/>
        <v>0</v>
      </c>
      <c r="M29" s="50">
        <f t="shared" si="11"/>
        <v>27.36</v>
      </c>
      <c r="N29" s="51">
        <f t="shared" si="12"/>
        <v>27.36</v>
      </c>
      <c r="O29" s="50">
        <f t="shared" si="0"/>
        <v>0</v>
      </c>
      <c r="P29" s="50">
        <f t="shared" si="1"/>
        <v>0</v>
      </c>
      <c r="Q29" s="50">
        <f t="shared" si="2"/>
        <v>0</v>
      </c>
      <c r="R29" s="50">
        <f t="shared" si="3"/>
        <v>49.3421052631579</v>
      </c>
      <c r="S29" s="52">
        <f t="shared" si="4"/>
        <v>27.000000000000004</v>
      </c>
      <c r="T29" s="10">
        <v>34</v>
      </c>
      <c r="U29" s="8">
        <v>29</v>
      </c>
      <c r="V29" s="8">
        <v>26</v>
      </c>
      <c r="W29" s="8">
        <v>44</v>
      </c>
      <c r="X29" s="8"/>
      <c r="Y29" s="8"/>
      <c r="Z29" s="8"/>
      <c r="AA29" s="8"/>
      <c r="AB29" s="8"/>
      <c r="AC29" s="8"/>
      <c r="AD29" s="8">
        <v>38</v>
      </c>
      <c r="AE29" s="8">
        <v>33</v>
      </c>
    </row>
    <row r="30" spans="1:31" ht="12.75" customHeight="1">
      <c r="A30" s="53">
        <v>25</v>
      </c>
      <c r="B30" s="54">
        <f t="shared" si="6"/>
        <v>1.5625</v>
      </c>
      <c r="C30" s="11">
        <v>1</v>
      </c>
      <c r="D30" s="11">
        <v>1</v>
      </c>
      <c r="E30" s="11">
        <v>5</v>
      </c>
      <c r="F30" s="11"/>
      <c r="G30" s="48">
        <f t="shared" si="13"/>
        <v>140.625</v>
      </c>
      <c r="H30" s="49">
        <f t="shared" si="5"/>
        <v>112.5</v>
      </c>
      <c r="I30" s="55">
        <f t="shared" si="7"/>
        <v>28.125</v>
      </c>
      <c r="J30" s="50">
        <f t="shared" si="8"/>
        <v>2.1</v>
      </c>
      <c r="K30" s="50">
        <f t="shared" si="9"/>
        <v>3.63</v>
      </c>
      <c r="L30" s="50">
        <f t="shared" si="10"/>
        <v>20.4</v>
      </c>
      <c r="M30" s="50">
        <f t="shared" si="11"/>
        <v>0</v>
      </c>
      <c r="N30" s="51">
        <f t="shared" si="12"/>
        <v>26.13</v>
      </c>
      <c r="O30" s="50">
        <f t="shared" si="0"/>
        <v>53.817451205510906</v>
      </c>
      <c r="P30" s="50">
        <f t="shared" si="1"/>
        <v>53.817451205510906</v>
      </c>
      <c r="Q30" s="50">
        <f t="shared" si="2"/>
        <v>53.8174512055109</v>
      </c>
      <c r="R30" s="50">
        <f t="shared" si="3"/>
        <v>0</v>
      </c>
      <c r="S30" s="52">
        <f t="shared" si="4"/>
        <v>28.125</v>
      </c>
      <c r="T30" s="97">
        <f aca="true" t="shared" si="16" ref="T30:AE30">((T32-T29)/3)+T29</f>
        <v>36</v>
      </c>
      <c r="U30" s="97">
        <f t="shared" si="16"/>
        <v>30.666666666666668</v>
      </c>
      <c r="V30" s="97">
        <f t="shared" si="16"/>
        <v>27.333333333333332</v>
      </c>
      <c r="W30" s="97">
        <f t="shared" si="16"/>
        <v>43.333333333333336</v>
      </c>
      <c r="X30" s="97">
        <f t="shared" si="16"/>
        <v>0</v>
      </c>
      <c r="Y30" s="97">
        <f t="shared" si="16"/>
        <v>0</v>
      </c>
      <c r="Z30" s="97">
        <f t="shared" si="16"/>
        <v>0</v>
      </c>
      <c r="AA30" s="97">
        <f t="shared" si="16"/>
        <v>0</v>
      </c>
      <c r="AB30" s="97">
        <f t="shared" si="16"/>
        <v>0</v>
      </c>
      <c r="AC30" s="97">
        <f t="shared" si="16"/>
        <v>0</v>
      </c>
      <c r="AD30" s="97">
        <f t="shared" si="16"/>
        <v>37</v>
      </c>
      <c r="AE30" s="97">
        <f t="shared" si="16"/>
        <v>32.333333333333336</v>
      </c>
    </row>
    <row r="31" spans="1:31" ht="12.75" customHeight="1">
      <c r="A31" s="53">
        <v>26</v>
      </c>
      <c r="B31" s="54">
        <f t="shared" si="6"/>
        <v>1.625</v>
      </c>
      <c r="C31" s="11">
        <v>1</v>
      </c>
      <c r="D31" s="11"/>
      <c r="E31" s="11"/>
      <c r="F31" s="11">
        <v>4</v>
      </c>
      <c r="G31" s="48">
        <f t="shared" si="13"/>
        <v>146.25</v>
      </c>
      <c r="H31" s="49">
        <f t="shared" si="5"/>
        <v>117</v>
      </c>
      <c r="I31" s="55">
        <f t="shared" si="7"/>
        <v>29.25</v>
      </c>
      <c r="J31" s="50">
        <f t="shared" si="8"/>
        <v>2.1</v>
      </c>
      <c r="K31" s="50">
        <f t="shared" si="9"/>
        <v>0</v>
      </c>
      <c r="L31" s="50">
        <f t="shared" si="10"/>
        <v>0</v>
      </c>
      <c r="M31" s="50">
        <f t="shared" si="11"/>
        <v>27.36</v>
      </c>
      <c r="N31" s="51">
        <f t="shared" si="12"/>
        <v>29.46</v>
      </c>
      <c r="O31" s="50">
        <f t="shared" si="0"/>
        <v>49.64358452138493</v>
      </c>
      <c r="P31" s="50">
        <f t="shared" si="1"/>
        <v>0</v>
      </c>
      <c r="Q31" s="50">
        <f t="shared" si="2"/>
        <v>0</v>
      </c>
      <c r="R31" s="50">
        <f t="shared" si="3"/>
        <v>49.64358452138492</v>
      </c>
      <c r="S31" s="52">
        <f t="shared" si="4"/>
        <v>29.25</v>
      </c>
      <c r="T31" s="97">
        <f aca="true" t="shared" si="17" ref="T31:AE31">((T32-T29)*0.666)+T29</f>
        <v>37.996</v>
      </c>
      <c r="U31" s="97">
        <f t="shared" si="17"/>
        <v>32.33</v>
      </c>
      <c r="V31" s="97">
        <f t="shared" si="17"/>
        <v>28.664</v>
      </c>
      <c r="W31" s="97">
        <f t="shared" si="17"/>
        <v>42.668</v>
      </c>
      <c r="X31" s="97">
        <f t="shared" si="17"/>
        <v>0</v>
      </c>
      <c r="Y31" s="97">
        <f t="shared" si="17"/>
        <v>0</v>
      </c>
      <c r="Z31" s="97">
        <f t="shared" si="17"/>
        <v>0</v>
      </c>
      <c r="AA31" s="97">
        <f t="shared" si="17"/>
        <v>0</v>
      </c>
      <c r="AB31" s="97">
        <f t="shared" si="17"/>
        <v>0</v>
      </c>
      <c r="AC31" s="97">
        <f t="shared" si="17"/>
        <v>0</v>
      </c>
      <c r="AD31" s="97">
        <f t="shared" si="17"/>
        <v>36.002</v>
      </c>
      <c r="AE31" s="97">
        <f t="shared" si="17"/>
        <v>31.668</v>
      </c>
    </row>
    <row r="32" spans="1:31" ht="12.75" customHeight="1">
      <c r="A32" s="53">
        <v>27</v>
      </c>
      <c r="B32" s="54">
        <f t="shared" si="6"/>
        <v>1.6875</v>
      </c>
      <c r="C32" s="11"/>
      <c r="D32" s="11">
        <v>1</v>
      </c>
      <c r="E32" s="11">
        <v>6</v>
      </c>
      <c r="F32" s="11"/>
      <c r="G32" s="48">
        <f t="shared" si="13"/>
        <v>151.875</v>
      </c>
      <c r="H32" s="49">
        <f t="shared" si="5"/>
        <v>121.5</v>
      </c>
      <c r="I32" s="55">
        <f t="shared" si="7"/>
        <v>30.375</v>
      </c>
      <c r="J32" s="50">
        <f t="shared" si="8"/>
        <v>0</v>
      </c>
      <c r="K32" s="50">
        <f t="shared" si="9"/>
        <v>3.63</v>
      </c>
      <c r="L32" s="50">
        <f t="shared" si="10"/>
        <v>24.48</v>
      </c>
      <c r="M32" s="50">
        <f t="shared" si="11"/>
        <v>0</v>
      </c>
      <c r="N32" s="51">
        <f t="shared" si="12"/>
        <v>28.11</v>
      </c>
      <c r="O32" s="50">
        <f t="shared" si="0"/>
        <v>0</v>
      </c>
      <c r="P32" s="50">
        <f t="shared" si="1"/>
        <v>54.028815368196376</v>
      </c>
      <c r="Q32" s="50">
        <f t="shared" si="2"/>
        <v>54.028815368196376</v>
      </c>
      <c r="R32" s="50">
        <f t="shared" si="3"/>
        <v>0</v>
      </c>
      <c r="S32" s="52">
        <f t="shared" si="4"/>
        <v>30.375000000000004</v>
      </c>
      <c r="T32" s="10">
        <v>40</v>
      </c>
      <c r="U32" s="8">
        <v>34</v>
      </c>
      <c r="V32" s="8">
        <v>30</v>
      </c>
      <c r="W32" s="8">
        <v>42</v>
      </c>
      <c r="X32" s="8"/>
      <c r="Y32" s="8"/>
      <c r="Z32" s="8"/>
      <c r="AA32" s="8"/>
      <c r="AB32" s="8"/>
      <c r="AC32" s="8"/>
      <c r="AD32" s="8">
        <v>35</v>
      </c>
      <c r="AE32" s="8">
        <v>31</v>
      </c>
    </row>
    <row r="33" spans="1:31" ht="12.75" customHeight="1">
      <c r="A33" s="53">
        <v>28</v>
      </c>
      <c r="B33" s="54">
        <f t="shared" si="6"/>
        <v>1.75</v>
      </c>
      <c r="C33" s="11"/>
      <c r="D33" s="11"/>
      <c r="E33" s="11">
        <v>7</v>
      </c>
      <c r="F33" s="11"/>
      <c r="G33" s="48">
        <f t="shared" si="13"/>
        <v>157.5</v>
      </c>
      <c r="H33" s="49">
        <f t="shared" si="5"/>
        <v>126</v>
      </c>
      <c r="I33" s="55">
        <f t="shared" si="7"/>
        <v>31.5</v>
      </c>
      <c r="J33" s="50">
        <f t="shared" si="8"/>
        <v>0</v>
      </c>
      <c r="K33" s="50">
        <f t="shared" si="9"/>
        <v>0</v>
      </c>
      <c r="L33" s="50">
        <f t="shared" si="10"/>
        <v>28.560000000000002</v>
      </c>
      <c r="M33" s="50">
        <f t="shared" si="11"/>
        <v>0</v>
      </c>
      <c r="N33" s="51">
        <f t="shared" si="12"/>
        <v>28.560000000000002</v>
      </c>
      <c r="O33" s="50">
        <f t="shared" si="0"/>
        <v>0</v>
      </c>
      <c r="P33" s="50">
        <f t="shared" si="1"/>
        <v>0</v>
      </c>
      <c r="Q33" s="50">
        <f t="shared" si="2"/>
        <v>55.147058823529406</v>
      </c>
      <c r="R33" s="50">
        <f t="shared" si="3"/>
        <v>0</v>
      </c>
      <c r="S33" s="52">
        <f t="shared" si="4"/>
        <v>31.5</v>
      </c>
      <c r="T33" s="10">
        <v>42</v>
      </c>
      <c r="U33" s="8">
        <v>36</v>
      </c>
      <c r="V33" s="8">
        <v>32</v>
      </c>
      <c r="W33" s="8">
        <v>41</v>
      </c>
      <c r="X33" s="8"/>
      <c r="Y33" s="8"/>
      <c r="Z33" s="8"/>
      <c r="AA33" s="8"/>
      <c r="AB33" s="8"/>
      <c r="AC33" s="8"/>
      <c r="AD33" s="8">
        <v>35</v>
      </c>
      <c r="AE33" s="8">
        <v>31</v>
      </c>
    </row>
    <row r="34" spans="1:31" ht="12.75" customHeight="1">
      <c r="A34" s="53">
        <v>29</v>
      </c>
      <c r="B34" s="54">
        <f t="shared" si="6"/>
        <v>1.8125</v>
      </c>
      <c r="C34" s="11">
        <v>1</v>
      </c>
      <c r="D34" s="11">
        <v>1</v>
      </c>
      <c r="E34" s="11">
        <v>6</v>
      </c>
      <c r="F34" s="11"/>
      <c r="G34" s="48">
        <f t="shared" si="13"/>
        <v>163.125</v>
      </c>
      <c r="H34" s="49">
        <f t="shared" si="5"/>
        <v>130.5</v>
      </c>
      <c r="I34" s="55">
        <f t="shared" si="7"/>
        <v>32.625</v>
      </c>
      <c r="J34" s="50">
        <f t="shared" si="8"/>
        <v>2.1</v>
      </c>
      <c r="K34" s="50">
        <f t="shared" si="9"/>
        <v>3.63</v>
      </c>
      <c r="L34" s="50">
        <f t="shared" si="10"/>
        <v>24.48</v>
      </c>
      <c r="M34" s="50">
        <f t="shared" si="11"/>
        <v>0</v>
      </c>
      <c r="N34" s="51">
        <f t="shared" si="12"/>
        <v>30.21</v>
      </c>
      <c r="O34" s="50">
        <f t="shared" si="0"/>
        <v>53.99702085402185</v>
      </c>
      <c r="P34" s="50">
        <f t="shared" si="1"/>
        <v>53.99702085402185</v>
      </c>
      <c r="Q34" s="50">
        <f t="shared" si="2"/>
        <v>53.99702085402185</v>
      </c>
      <c r="R34" s="50">
        <f t="shared" si="3"/>
        <v>0</v>
      </c>
      <c r="S34" s="52">
        <f t="shared" si="4"/>
        <v>32.625</v>
      </c>
      <c r="T34" s="95">
        <f>(T33+T35)/2</f>
        <v>44</v>
      </c>
      <c r="U34" s="95">
        <f>(U33+U35)/2</f>
        <v>38</v>
      </c>
      <c r="V34" s="95">
        <f>(V33+V35)/2</f>
        <v>33.5</v>
      </c>
      <c r="W34" s="95">
        <f>(W33+W35)/2</f>
        <v>40.5</v>
      </c>
      <c r="X34" s="8"/>
      <c r="Y34" s="8"/>
      <c r="Z34" s="8"/>
      <c r="AA34" s="8"/>
      <c r="AB34" s="8"/>
      <c r="AC34" s="8"/>
      <c r="AD34" s="95">
        <f>(AD33+AD35)/2</f>
        <v>34.5</v>
      </c>
      <c r="AE34" s="95">
        <f>(AE33+AE35)/2</f>
        <v>30.5</v>
      </c>
    </row>
    <row r="35" spans="1:31" ht="12.75" customHeight="1">
      <c r="A35" s="53">
        <v>30</v>
      </c>
      <c r="B35" s="54">
        <f t="shared" si="6"/>
        <v>1.875</v>
      </c>
      <c r="C35" s="11"/>
      <c r="D35" s="11"/>
      <c r="E35" s="11"/>
      <c r="F35" s="11">
        <v>5</v>
      </c>
      <c r="G35" s="48">
        <f t="shared" si="13"/>
        <v>168.75</v>
      </c>
      <c r="H35" s="49">
        <f t="shared" si="5"/>
        <v>135</v>
      </c>
      <c r="I35" s="55">
        <f t="shared" si="7"/>
        <v>33.75</v>
      </c>
      <c r="J35" s="50">
        <f t="shared" si="8"/>
        <v>0</v>
      </c>
      <c r="K35" s="50">
        <f t="shared" si="9"/>
        <v>0</v>
      </c>
      <c r="L35" s="50">
        <f t="shared" si="10"/>
        <v>0</v>
      </c>
      <c r="M35" s="50">
        <f t="shared" si="11"/>
        <v>34.2</v>
      </c>
      <c r="N35" s="51">
        <f t="shared" si="12"/>
        <v>34.2</v>
      </c>
      <c r="O35" s="50">
        <f t="shared" si="0"/>
        <v>0</v>
      </c>
      <c r="P35" s="50">
        <f t="shared" si="1"/>
        <v>0</v>
      </c>
      <c r="Q35" s="50">
        <f t="shared" si="2"/>
        <v>0</v>
      </c>
      <c r="R35" s="50">
        <f t="shared" si="3"/>
        <v>49.34210526315789</v>
      </c>
      <c r="S35" s="52">
        <f t="shared" si="4"/>
        <v>33.75</v>
      </c>
      <c r="T35" s="10">
        <v>46</v>
      </c>
      <c r="U35" s="8">
        <v>40</v>
      </c>
      <c r="V35" s="8">
        <v>35</v>
      </c>
      <c r="W35" s="8">
        <v>40</v>
      </c>
      <c r="X35" s="8"/>
      <c r="Y35" s="8"/>
      <c r="Z35" s="8"/>
      <c r="AA35" s="8"/>
      <c r="AB35" s="8"/>
      <c r="AC35" s="8"/>
      <c r="AD35" s="8">
        <v>34</v>
      </c>
      <c r="AE35" s="8">
        <v>30</v>
      </c>
    </row>
    <row r="36" spans="1:31" ht="12.75" customHeight="1">
      <c r="A36" s="53">
        <v>31</v>
      </c>
      <c r="B36" s="54">
        <f t="shared" si="6"/>
        <v>1.9375</v>
      </c>
      <c r="C36" s="11"/>
      <c r="D36" s="11">
        <v>1</v>
      </c>
      <c r="E36" s="11">
        <v>1</v>
      </c>
      <c r="F36" s="11">
        <v>4</v>
      </c>
      <c r="G36" s="48">
        <f t="shared" si="13"/>
        <v>174.375</v>
      </c>
      <c r="H36" s="49">
        <f t="shared" si="5"/>
        <v>139.5</v>
      </c>
      <c r="I36" s="55">
        <f t="shared" si="7"/>
        <v>34.875</v>
      </c>
      <c r="J36" s="50">
        <f t="shared" si="8"/>
        <v>0</v>
      </c>
      <c r="K36" s="50">
        <f t="shared" si="9"/>
        <v>3.63</v>
      </c>
      <c r="L36" s="50">
        <f t="shared" si="10"/>
        <v>4.08</v>
      </c>
      <c r="M36" s="50">
        <f t="shared" si="11"/>
        <v>27.36</v>
      </c>
      <c r="N36" s="51">
        <f t="shared" si="12"/>
        <v>35.07</v>
      </c>
      <c r="O36" s="50">
        <f t="shared" si="0"/>
        <v>0</v>
      </c>
      <c r="P36" s="50">
        <f t="shared" si="1"/>
        <v>49.721984602224126</v>
      </c>
      <c r="Q36" s="50">
        <f t="shared" si="2"/>
        <v>49.721984602224126</v>
      </c>
      <c r="R36" s="50">
        <f t="shared" si="3"/>
        <v>49.721984602224126</v>
      </c>
      <c r="S36" s="52">
        <f t="shared" si="4"/>
        <v>34.875</v>
      </c>
      <c r="T36" s="95">
        <f>(T35+T37)/2</f>
        <v>48.5</v>
      </c>
      <c r="U36" s="95">
        <f>(U35+U37)/2</f>
        <v>42</v>
      </c>
      <c r="V36" s="95">
        <f>(V35+V37)/2</f>
        <v>36.5</v>
      </c>
      <c r="W36" s="95">
        <f>(W35+W37)/2</f>
        <v>39.5</v>
      </c>
      <c r="X36" s="8"/>
      <c r="Y36" s="8"/>
      <c r="Z36" s="8"/>
      <c r="AA36" s="8"/>
      <c r="AB36" s="8"/>
      <c r="AC36" s="8"/>
      <c r="AD36" s="95">
        <f>(AD35+AD37)/2</f>
        <v>33.5</v>
      </c>
      <c r="AE36" s="95">
        <f>(AE35+AE37)/2</f>
        <v>29.5</v>
      </c>
    </row>
    <row r="37" spans="1:31" ht="12.75" customHeight="1" thickBot="1">
      <c r="A37" s="56">
        <v>32</v>
      </c>
      <c r="B37" s="57">
        <f t="shared" si="6"/>
        <v>2</v>
      </c>
      <c r="C37" s="11"/>
      <c r="D37" s="11"/>
      <c r="E37" s="11">
        <v>8</v>
      </c>
      <c r="F37" s="11"/>
      <c r="G37" s="48">
        <f t="shared" si="13"/>
        <v>180</v>
      </c>
      <c r="H37" s="49">
        <f t="shared" si="5"/>
        <v>144</v>
      </c>
      <c r="I37" s="55">
        <f t="shared" si="7"/>
        <v>36</v>
      </c>
      <c r="J37" s="50">
        <f t="shared" si="8"/>
        <v>0</v>
      </c>
      <c r="K37" s="50">
        <f t="shared" si="9"/>
        <v>0</v>
      </c>
      <c r="L37" s="50">
        <f t="shared" si="10"/>
        <v>32.64</v>
      </c>
      <c r="M37" s="50">
        <f t="shared" si="11"/>
        <v>0</v>
      </c>
      <c r="N37" s="51">
        <f t="shared" si="12"/>
        <v>32.64</v>
      </c>
      <c r="O37" s="50">
        <f t="shared" si="0"/>
        <v>0</v>
      </c>
      <c r="P37" s="50">
        <f t="shared" si="1"/>
        <v>0</v>
      </c>
      <c r="Q37" s="50">
        <f t="shared" si="2"/>
        <v>55.14705882352941</v>
      </c>
      <c r="R37" s="50">
        <f t="shared" si="3"/>
        <v>0</v>
      </c>
      <c r="S37" s="52">
        <f t="shared" si="4"/>
        <v>36</v>
      </c>
      <c r="T37" s="58">
        <v>51</v>
      </c>
      <c r="U37" s="59">
        <v>44</v>
      </c>
      <c r="V37" s="59">
        <v>38</v>
      </c>
      <c r="W37" s="59">
        <v>39</v>
      </c>
      <c r="X37" s="59"/>
      <c r="Y37" s="59"/>
      <c r="Z37" s="59"/>
      <c r="AA37" s="59"/>
      <c r="AB37" s="59"/>
      <c r="AC37" s="59"/>
      <c r="AD37" s="59">
        <v>33</v>
      </c>
      <c r="AE37" s="59">
        <v>29</v>
      </c>
    </row>
    <row r="38" spans="1:21" ht="8.25" customHeight="1" thickBot="1" thickTop="1">
      <c r="A38" s="60"/>
      <c r="B38" s="61"/>
      <c r="C38" s="62"/>
      <c r="D38" s="62"/>
      <c r="E38" s="62"/>
      <c r="F38" s="6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30"/>
      <c r="U38" s="30"/>
    </row>
    <row r="39" spans="1:27" ht="17.25" thickBot="1" thickTop="1">
      <c r="A39" s="130" t="s">
        <v>8</v>
      </c>
      <c r="B39" s="108"/>
      <c r="C39" s="108"/>
      <c r="D39" s="88">
        <v>0.3</v>
      </c>
      <c r="E39" s="113" t="s">
        <v>48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2" t="s">
        <v>47</v>
      </c>
      <c r="S39" s="108"/>
      <c r="T39" s="108"/>
      <c r="U39" s="63">
        <f>G42-H42</f>
        <v>10.125</v>
      </c>
      <c r="AA39">
        <v>8</v>
      </c>
    </row>
    <row r="40" spans="1:28" ht="13.5" thickTop="1">
      <c r="A40" s="139" t="s">
        <v>0</v>
      </c>
      <c r="B40" s="140"/>
      <c r="C40" s="131" t="s">
        <v>9</v>
      </c>
      <c r="D40" s="131"/>
      <c r="E40" s="131"/>
      <c r="F40" s="131"/>
      <c r="G40" s="64" t="s">
        <v>5</v>
      </c>
      <c r="H40" s="65" t="s">
        <v>7</v>
      </c>
      <c r="I40" s="32" t="s">
        <v>10</v>
      </c>
      <c r="J40" s="129" t="s">
        <v>11</v>
      </c>
      <c r="K40" s="129"/>
      <c r="L40" s="129"/>
      <c r="M40" s="129"/>
      <c r="N40" s="33" t="s">
        <v>5</v>
      </c>
      <c r="O40" s="145" t="s">
        <v>16</v>
      </c>
      <c r="P40" s="145"/>
      <c r="Q40" s="145"/>
      <c r="R40" s="145"/>
      <c r="S40" s="33" t="s">
        <v>6</v>
      </c>
      <c r="T40" s="66"/>
      <c r="U40" s="65"/>
      <c r="Z40" s="4" t="s">
        <v>39</v>
      </c>
      <c r="AA40" s="2" t="s">
        <v>21</v>
      </c>
      <c r="AB40" s="2" t="s">
        <v>28</v>
      </c>
    </row>
    <row r="41" spans="1:28" ht="13.5" thickBot="1">
      <c r="A41" s="34" t="s">
        <v>15</v>
      </c>
      <c r="B41" s="35"/>
      <c r="C41" s="67" t="s">
        <v>1</v>
      </c>
      <c r="D41" s="67" t="s">
        <v>2</v>
      </c>
      <c r="E41" s="68" t="s">
        <v>3</v>
      </c>
      <c r="F41" s="67" t="s">
        <v>4</v>
      </c>
      <c r="G41" s="39" t="s">
        <v>6</v>
      </c>
      <c r="H41" s="40" t="s">
        <v>6</v>
      </c>
      <c r="I41" s="65" t="s">
        <v>6</v>
      </c>
      <c r="J41" s="42" t="s">
        <v>1</v>
      </c>
      <c r="K41" s="42" t="s">
        <v>2</v>
      </c>
      <c r="L41" s="42" t="s">
        <v>3</v>
      </c>
      <c r="M41" s="42" t="s">
        <v>4</v>
      </c>
      <c r="N41" s="33" t="s">
        <v>6</v>
      </c>
      <c r="O41" s="69" t="s">
        <v>1</v>
      </c>
      <c r="P41" s="69" t="s">
        <v>2</v>
      </c>
      <c r="Q41" s="69" t="s">
        <v>3</v>
      </c>
      <c r="R41" s="69" t="s">
        <v>4</v>
      </c>
      <c r="S41" s="33" t="s">
        <v>12</v>
      </c>
      <c r="T41" s="41"/>
      <c r="U41" s="40"/>
      <c r="Z41" s="4" t="s">
        <v>40</v>
      </c>
      <c r="AA41" s="2" t="s">
        <v>32</v>
      </c>
      <c r="AB41" s="2" t="s">
        <v>38</v>
      </c>
    </row>
    <row r="42" spans="1:28" ht="13.5" thickTop="1">
      <c r="A42" s="89">
        <v>8</v>
      </c>
      <c r="B42" s="47">
        <f>A42/16</f>
        <v>0.5</v>
      </c>
      <c r="C42" s="11"/>
      <c r="D42" s="11"/>
      <c r="E42" s="11">
        <v>2</v>
      </c>
      <c r="F42" s="11"/>
      <c r="G42" s="70">
        <f>H42+I42</f>
        <v>43.875</v>
      </c>
      <c r="H42" s="90">
        <v>33.75</v>
      </c>
      <c r="I42" s="71">
        <f>H42*D39</f>
        <v>10.125</v>
      </c>
      <c r="J42" s="72">
        <f>C42*$C$3</f>
        <v>0</v>
      </c>
      <c r="K42" s="50">
        <f>D42*$D$3</f>
        <v>0</v>
      </c>
      <c r="L42" s="50">
        <f>E42*$E$3</f>
        <v>8.16</v>
      </c>
      <c r="M42" s="50">
        <f>F42*$F$3</f>
        <v>0</v>
      </c>
      <c r="N42" s="51">
        <f>SUM(J42:M42)</f>
        <v>8.16</v>
      </c>
      <c r="O42" s="50">
        <f>IF(J42=0,0,(50*I42*(J42/N42))/J42)</f>
        <v>0</v>
      </c>
      <c r="P42" s="50">
        <f>IF(K42=0,0,(50*I42*(K42/N42))/K42)</f>
        <v>0</v>
      </c>
      <c r="Q42" s="50">
        <f>IF(L42=0,0,(50*I42*(L42/N42))/L42)</f>
        <v>62.04044117647059</v>
      </c>
      <c r="R42" s="50">
        <f>IF(M42=0,0,(50*I42*(M42/N42))/M42)</f>
        <v>0</v>
      </c>
      <c r="S42" s="48">
        <f>(O42*$C$4*C42)+(P42*$D$4*D42)+(Q42*$E$4*E42)+(R42*$F$4*F42)</f>
        <v>10.125</v>
      </c>
      <c r="T42" s="73"/>
      <c r="U42" s="74"/>
      <c r="Z42" s="4" t="s">
        <v>41</v>
      </c>
      <c r="AA42" s="2" t="s">
        <v>22</v>
      </c>
      <c r="AB42" s="2" t="s">
        <v>33</v>
      </c>
    </row>
    <row r="43" spans="1:28" ht="13.5" customHeight="1">
      <c r="A43" s="75"/>
      <c r="B43" s="30"/>
      <c r="C43" s="141">
        <f>IF((C42*2/16)+(D42*2*3/32)+(E42*2/8)+(F42*2*3/16)=B42,"","Error- Check # of loops")</f>
      </c>
      <c r="D43" s="142"/>
      <c r="E43" s="142"/>
      <c r="F43" s="142"/>
      <c r="G43" s="76"/>
      <c r="H43" s="77"/>
      <c r="I43" s="78"/>
      <c r="J43" s="78"/>
      <c r="K43" s="78"/>
      <c r="L43" s="78"/>
      <c r="M43" s="78"/>
      <c r="N43" s="78"/>
      <c r="O43" s="146" t="s">
        <v>18</v>
      </c>
      <c r="P43" s="147"/>
      <c r="Q43" s="79">
        <f>$G$42/$B$42</f>
        <v>87.75</v>
      </c>
      <c r="R43" s="80" t="s">
        <v>19</v>
      </c>
      <c r="S43" s="81"/>
      <c r="T43" s="82"/>
      <c r="U43" s="83"/>
      <c r="Z43" s="4" t="s">
        <v>42</v>
      </c>
      <c r="AA43" s="2" t="s">
        <v>23</v>
      </c>
      <c r="AB43" s="2" t="s">
        <v>30</v>
      </c>
    </row>
    <row r="44" spans="1:28" ht="13.5" thickBot="1">
      <c r="A44" s="75"/>
      <c r="B44" s="136" t="s">
        <v>35</v>
      </c>
      <c r="C44" s="136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143" t="str">
        <f>IF($Q$43&gt;(86+(3*$AA$39)),AA40,IF($Q$43&gt;(86+(2*$AA$39)),AA41,IF($Q$43&gt;(86+(1*$AA$39)),AA42,IF($Q$43&gt;86,AA43,IF($Q$43&gt;(86-(1*$AA$39)),AA44,IF($Q$43&gt;(86-(2*$AA$39)),$AA$45,IF($Q$43&gt;(86-(3*$AA$39)),AA46,AA47)))))))</f>
        <v>Pilot</v>
      </c>
      <c r="P44" s="144"/>
      <c r="Q44" s="137" t="str">
        <f>IF($Q$43&gt;(86+(3*$AA$39)),AB40,IF($Q$43&gt;(86+(2*$AA$39)),AB41,IF($Q$43&gt;(86+(1*$AA$39)),AB42,IF($Q$43&gt;86,AB43,IF($Q$43&gt;(86-(1*$AA$39)),AB44,IF($Q$43&gt;(86-(2*$AA$39)),AB45,IF($Q$43&gt;(86-(3*$AA$39)),AB46,AB47)))))))</f>
        <v>Normal rubber size</v>
      </c>
      <c r="R44" s="137"/>
      <c r="S44" s="137"/>
      <c r="T44" s="137"/>
      <c r="U44" s="138"/>
      <c r="Z44" s="4" t="s">
        <v>43</v>
      </c>
      <c r="AA44" s="2" t="s">
        <v>24</v>
      </c>
      <c r="AB44" s="2" t="s">
        <v>31</v>
      </c>
    </row>
    <row r="45" spans="26:28" ht="13.5" thickTop="1">
      <c r="Z45" s="4" t="s">
        <v>44</v>
      </c>
      <c r="AA45" s="2" t="s">
        <v>25</v>
      </c>
      <c r="AB45" s="2" t="s">
        <v>34</v>
      </c>
    </row>
    <row r="46" spans="15:28" ht="12.75">
      <c r="O46" s="100" t="s">
        <v>94</v>
      </c>
      <c r="P46" s="100" t="s">
        <v>95</v>
      </c>
      <c r="Q46" s="100" t="s">
        <v>96</v>
      </c>
      <c r="R46" s="100" t="s">
        <v>99</v>
      </c>
      <c r="S46" s="101"/>
      <c r="T46" s="100" t="s">
        <v>97</v>
      </c>
      <c r="U46" s="100" t="s">
        <v>98</v>
      </c>
      <c r="Z46" s="4" t="s">
        <v>45</v>
      </c>
      <c r="AA46" s="2" t="s">
        <v>26</v>
      </c>
      <c r="AB46" s="2" t="s">
        <v>29</v>
      </c>
    </row>
    <row r="47" spans="15:28" ht="12.75">
      <c r="O47" s="101">
        <f>VLOOKUP($A$42,$A$7:$AE$37,20)</f>
        <v>7</v>
      </c>
      <c r="P47" s="101">
        <f>VLOOKUP($A$42,$A$7:$AE$37,21)</f>
        <v>6</v>
      </c>
      <c r="Q47" s="101">
        <f>VLOOKUP($A$42,$A$7:$AE$37,22)</f>
        <v>5.3</v>
      </c>
      <c r="R47" s="101">
        <f>VLOOKUP($A$42,$A$7:$AE$37,23)</f>
        <v>76</v>
      </c>
      <c r="S47" s="101"/>
      <c r="T47" s="101">
        <f>VLOOKUP($A$42,$A$7:$AE$37,30)</f>
        <v>65</v>
      </c>
      <c r="U47" s="101">
        <f>VLOOKUP($A$42,$A$7:$AE$37,31)</f>
        <v>57</v>
      </c>
      <c r="Z47" s="4" t="s">
        <v>46</v>
      </c>
      <c r="AA47" s="3" t="s">
        <v>36</v>
      </c>
      <c r="AB47" s="3" t="s">
        <v>37</v>
      </c>
    </row>
    <row r="48" spans="17:21" ht="12.75">
      <c r="Q48" s="103" t="s">
        <v>101</v>
      </c>
      <c r="R48" s="102">
        <f>(MAX($O$42:$R$42)/2)*R47</f>
        <v>2357.5367647058824</v>
      </c>
      <c r="S48" s="102"/>
      <c r="T48" s="102">
        <f>(MAX($O$42:$R$42)/2)*T47</f>
        <v>2016.3143382352941</v>
      </c>
      <c r="U48" s="102">
        <f>(MAX($O$42:$R$42)/2)*U47</f>
        <v>1768.1525735294117</v>
      </c>
    </row>
    <row r="49" ht="12.75">
      <c r="F49" s="5"/>
    </row>
    <row r="50" ht="12.75"/>
    <row r="51" ht="12.75"/>
    <row r="52" ht="12.75"/>
  </sheetData>
  <sheetProtection/>
  <mergeCells count="25">
    <mergeCell ref="T5:AE5"/>
    <mergeCell ref="B44:C44"/>
    <mergeCell ref="Q44:U44"/>
    <mergeCell ref="A40:B40"/>
    <mergeCell ref="C43:F43"/>
    <mergeCell ref="O44:P44"/>
    <mergeCell ref="O40:R40"/>
    <mergeCell ref="O43:P43"/>
    <mergeCell ref="J4:N4"/>
    <mergeCell ref="A5:B5"/>
    <mergeCell ref="C5:F5"/>
    <mergeCell ref="J40:M40"/>
    <mergeCell ref="A39:C39"/>
    <mergeCell ref="C40:F40"/>
    <mergeCell ref="J5:M5"/>
    <mergeCell ref="A1:E1"/>
    <mergeCell ref="F1:G1"/>
    <mergeCell ref="C2:F2"/>
    <mergeCell ref="R39:T39"/>
    <mergeCell ref="E39:Q39"/>
    <mergeCell ref="O5:R5"/>
    <mergeCell ref="J3:N3"/>
    <mergeCell ref="H2:H3"/>
    <mergeCell ref="A2:B3"/>
    <mergeCell ref="G2:G3"/>
  </mergeCells>
  <conditionalFormatting sqref="C7:C37 C42">
    <cfRule type="expression" priority="1" dxfId="0" stopIfTrue="1">
      <formula>IF(C7*2+D7*3+E7*4+F7*6=A7,FALSE,TRUE)</formula>
    </cfRule>
  </conditionalFormatting>
  <conditionalFormatting sqref="D7:D37 D42">
    <cfRule type="expression" priority="2" dxfId="0" stopIfTrue="1">
      <formula>IF(C7*2+D7*3+E7*4+F7*6=A7,FALSE,TRUE)</formula>
    </cfRule>
  </conditionalFormatting>
  <conditionalFormatting sqref="E7:E37 E42">
    <cfRule type="expression" priority="3" dxfId="0" stopIfTrue="1">
      <formula>IF(C7*2+D7*3+E7*4+F7*6=A7,FALSE,TRUE)</formula>
    </cfRule>
  </conditionalFormatting>
  <conditionalFormatting sqref="F7:F37 F42">
    <cfRule type="expression" priority="4" dxfId="0" stopIfTrue="1">
      <formula>IF(C7*2+D7*3+E7*4+F7*6=A7,FALSE,TRUE)</formula>
    </cfRule>
  </conditionalFormatting>
  <printOptions horizontalCentered="1"/>
  <pageMargins left="0.25" right="0.25" top="0.4" bottom="0.4" header="0" footer="0"/>
  <pageSetup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M62"/>
  <sheetViews>
    <sheetView showGridLines="0" zoomScalePageLayoutView="0" workbookViewId="0" topLeftCell="B1">
      <selection activeCell="B34" sqref="B34"/>
    </sheetView>
  </sheetViews>
  <sheetFormatPr defaultColWidth="9.140625" defaultRowHeight="12.75"/>
  <cols>
    <col min="1" max="1" width="3.7109375" style="0" hidden="1" customWidth="1"/>
    <col min="2" max="2" width="3.421875" style="0" customWidth="1"/>
    <col min="7" max="7" width="6.421875" style="0" customWidth="1"/>
    <col min="8" max="8" width="6.28125" style="0" customWidth="1"/>
    <col min="9" max="9" width="5.7109375" style="0" customWidth="1"/>
    <col min="10" max="10" width="8.57421875" style="0" customWidth="1"/>
    <col min="12" max="12" width="2.00390625" style="0" customWidth="1"/>
    <col min="13" max="13" width="25.00390625" style="0" customWidth="1"/>
  </cols>
  <sheetData>
    <row r="5" ht="12.75">
      <c r="M5" t="s">
        <v>77</v>
      </c>
    </row>
    <row r="6" ht="12.75">
      <c r="M6" t="s">
        <v>73</v>
      </c>
    </row>
    <row r="7" ht="12.75">
      <c r="M7" t="s">
        <v>52</v>
      </c>
    </row>
    <row r="9" ht="12.75">
      <c r="M9" t="s">
        <v>57</v>
      </c>
    </row>
    <row r="12" ht="12.75">
      <c r="M12" t="s">
        <v>58</v>
      </c>
    </row>
    <row r="15" ht="12.75">
      <c r="M15" t="s">
        <v>60</v>
      </c>
    </row>
    <row r="18" ht="12.75">
      <c r="M18" t="s">
        <v>59</v>
      </c>
    </row>
    <row r="22" ht="12.75">
      <c r="M22" t="s">
        <v>74</v>
      </c>
    </row>
    <row r="32" ht="12.75">
      <c r="B32" s="6" t="s">
        <v>67</v>
      </c>
    </row>
    <row r="33" ht="12.75">
      <c r="B33" t="s">
        <v>102</v>
      </c>
    </row>
    <row r="34" ht="12.75">
      <c r="B34" t="s">
        <v>76</v>
      </c>
    </row>
    <row r="35" ht="12.75">
      <c r="B35" t="s">
        <v>68</v>
      </c>
    </row>
    <row r="36" ht="12.75">
      <c r="B36" t="s">
        <v>69</v>
      </c>
    </row>
    <row r="37" ht="12.75">
      <c r="B37" t="s">
        <v>88</v>
      </c>
    </row>
    <row r="39" ht="12.75">
      <c r="B39" s="6" t="s">
        <v>57</v>
      </c>
    </row>
    <row r="40" ht="12.75">
      <c r="B40" t="s">
        <v>75</v>
      </c>
    </row>
    <row r="41" ht="12.75">
      <c r="C41" s="6" t="s">
        <v>86</v>
      </c>
    </row>
    <row r="42" ht="12.75">
      <c r="C42" s="7" t="s">
        <v>87</v>
      </c>
    </row>
    <row r="44" ht="12.75">
      <c r="C44" s="6" t="s">
        <v>66</v>
      </c>
    </row>
    <row r="45" ht="12.75">
      <c r="C45" t="s">
        <v>64</v>
      </c>
    </row>
    <row r="46" ht="12.75">
      <c r="C46" t="s">
        <v>65</v>
      </c>
    </row>
    <row r="48" ht="12.75">
      <c r="B48" s="6" t="s">
        <v>58</v>
      </c>
    </row>
    <row r="49" ht="12.75">
      <c r="C49" t="s">
        <v>71</v>
      </c>
    </row>
    <row r="50" ht="12.75">
      <c r="C50" t="s">
        <v>61</v>
      </c>
    </row>
    <row r="52" ht="12.75">
      <c r="B52" s="6" t="s">
        <v>60</v>
      </c>
    </row>
    <row r="53" ht="12.75">
      <c r="C53" t="s">
        <v>89</v>
      </c>
    </row>
    <row r="54" ht="12.75">
      <c r="C54" t="s">
        <v>62</v>
      </c>
    </row>
    <row r="55" ht="12.75">
      <c r="C55" t="s">
        <v>90</v>
      </c>
    </row>
    <row r="57" ht="12.75">
      <c r="B57" s="6" t="s">
        <v>59</v>
      </c>
    </row>
    <row r="58" ht="12.75">
      <c r="C58" t="s">
        <v>63</v>
      </c>
    </row>
    <row r="59" ht="12.75">
      <c r="C59" t="s">
        <v>70</v>
      </c>
    </row>
    <row r="60" ht="12.75">
      <c r="C60" t="s">
        <v>72</v>
      </c>
    </row>
    <row r="62" ht="12.75">
      <c r="C62" t="s">
        <v>92</v>
      </c>
    </row>
  </sheetData>
  <sheetProtection/>
  <printOptions horizontalCentered="1"/>
  <pageMargins left="0.25" right="0.25" top="0.25" bottom="0.25" header="0.35" footer="0.3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7" max="7" width="2.7109375" style="0" customWidth="1"/>
    <col min="10" max="10" width="10.57421875" style="0" customWidth="1"/>
    <col min="11" max="11" width="19.00390625" style="0" customWidth="1"/>
    <col min="12" max="12" width="19.28125" style="0" customWidth="1"/>
  </cols>
  <sheetData>
    <row r="5" ht="12.75">
      <c r="K5" t="s">
        <v>83</v>
      </c>
    </row>
    <row r="6" ht="12.75">
      <c r="K6" t="s">
        <v>84</v>
      </c>
    </row>
    <row r="7" ht="12.75">
      <c r="K7" t="s">
        <v>85</v>
      </c>
    </row>
    <row r="8" ht="12.75">
      <c r="K8" t="s">
        <v>52</v>
      </c>
    </row>
    <row r="10" ht="12.75">
      <c r="K10" t="s">
        <v>53</v>
      </c>
    </row>
    <row r="13" ht="12.75">
      <c r="K13" t="s">
        <v>54</v>
      </c>
    </row>
    <row r="16" ht="12.75">
      <c r="K16" t="s">
        <v>55</v>
      </c>
    </row>
    <row r="20" ht="12.75">
      <c r="K20" t="s">
        <v>56</v>
      </c>
    </row>
    <row r="33" ht="12.75">
      <c r="B33" s="6" t="s">
        <v>53</v>
      </c>
    </row>
    <row r="34" ht="12.75">
      <c r="B34" t="s">
        <v>91</v>
      </c>
    </row>
    <row r="36" ht="12.75">
      <c r="B36" s="6" t="s">
        <v>54</v>
      </c>
    </row>
    <row r="37" ht="12.75">
      <c r="B37" t="s">
        <v>78</v>
      </c>
    </row>
    <row r="38" ht="12.75">
      <c r="B38" t="s">
        <v>79</v>
      </c>
    </row>
    <row r="40" ht="12.75">
      <c r="B40" t="s">
        <v>80</v>
      </c>
    </row>
    <row r="41" ht="12.75">
      <c r="B41" t="s">
        <v>81</v>
      </c>
    </row>
    <row r="43" ht="12.75">
      <c r="B43" s="6" t="s">
        <v>55</v>
      </c>
    </row>
    <row r="44" ht="12.75">
      <c r="B44" t="s">
        <v>82</v>
      </c>
    </row>
    <row r="46" ht="12.75">
      <c r="B46" t="s">
        <v>93</v>
      </c>
    </row>
  </sheetData>
  <sheetProtection/>
  <printOptions horizontalCentered="1"/>
  <pageMargins left="0.25" right="0.25" top="0.35" bottom="0.35" header="0.25" footer="0.2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RJP</dc:creator>
  <cp:keywords/>
  <dc:description/>
  <cp:lastModifiedBy>Easy Built Models</cp:lastModifiedBy>
  <cp:lastPrinted>2018-01-29T11:12:18Z</cp:lastPrinted>
  <dcterms:created xsi:type="dcterms:W3CDTF">2016-09-14T11:42:24Z</dcterms:created>
  <dcterms:modified xsi:type="dcterms:W3CDTF">2022-05-17T20:06:29Z</dcterms:modified>
  <cp:category/>
  <cp:version/>
  <cp:contentType/>
  <cp:contentStatus/>
</cp:coreProperties>
</file>